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315" windowWidth="14790" windowHeight="7200" tabRatio="782" activeTab="2"/>
  </bookViews>
  <sheets>
    <sheet name="0-Revision History" sheetId="9" r:id="rId1"/>
    <sheet name="A-Model-Area-Demographics" sheetId="14" r:id="rId2"/>
    <sheet name="B-Wireless-Input-System Gain" sheetId="8" r:id="rId3"/>
    <sheet name="C-SG Ntwrk-Input-BS-Output " sheetId="10" r:id="rId4"/>
    <sheet name="1-Range_Estimator" sheetId="3" r:id="rId5"/>
    <sheet name="2-SNR-Chan Cap vs Range" sheetId="4" r:id="rId6"/>
    <sheet name="3-SNR-Chan SE vs Range" sheetId="11" r:id="rId7"/>
    <sheet name="4-Latency Analysis" sheetId="16" r:id="rId8"/>
    <sheet name="Sheet1" sheetId="17" r:id="rId9"/>
  </sheets>
  <externalReferences>
    <externalReference r:id="rId10"/>
    <externalReference r:id="rId11"/>
  </externalReferences>
  <definedNames>
    <definedName name="AAS_Gain">'[1]2.0 Demographics_&amp;_Req_Capacity'!$C$31</definedName>
    <definedName name="CTC_Gain">'[1]2.0 Demographics_&amp;_Req_Capacity'!$C$33</definedName>
  </definedNames>
  <calcPr calcId="125725" concurrentCalc="0"/>
</workbook>
</file>

<file path=xl/calcChain.xml><?xml version="1.0" encoding="utf-8"?>
<calcChain xmlns="http://schemas.openxmlformats.org/spreadsheetml/2006/main">
  <c r="G7" i="8"/>
  <c r="D7"/>
  <c r="AD41"/>
  <c r="AD40"/>
  <c r="AD39"/>
  <c r="AD38"/>
  <c r="AD37"/>
  <c r="AD36"/>
  <c r="AD35"/>
  <c r="AD34"/>
  <c r="AD33"/>
  <c r="AD32"/>
  <c r="AD31"/>
  <c r="AD30"/>
  <c r="AD29"/>
  <c r="AD28"/>
  <c r="AD27"/>
  <c r="W41"/>
  <c r="W40"/>
  <c r="W39"/>
  <c r="W38"/>
  <c r="W37"/>
  <c r="W36"/>
  <c r="W35"/>
  <c r="W34"/>
  <c r="W33"/>
  <c r="W32"/>
  <c r="W30"/>
  <c r="W29"/>
  <c r="W28"/>
  <c r="W27"/>
  <c r="W31"/>
  <c r="AH41"/>
  <c r="AH40"/>
  <c r="AH22" i="11"/>
  <c r="AH39" i="8"/>
  <c r="AH38"/>
  <c r="AH20" i="11"/>
  <c r="AH37" i="8"/>
  <c r="AH36"/>
  <c r="AH18" i="11"/>
  <c r="AH35" i="8"/>
  <c r="AH34"/>
  <c r="AH16" i="11"/>
  <c r="AH33" i="8"/>
  <c r="AH32"/>
  <c r="AH14" i="11"/>
  <c r="AH31" i="8"/>
  <c r="AH30"/>
  <c r="AH12" i="11"/>
  <c r="AH29" i="8"/>
  <c r="AH28"/>
  <c r="AH10" i="11"/>
  <c r="AH27" i="8"/>
  <c r="AA41"/>
  <c r="AA40"/>
  <c r="AA39"/>
  <c r="AA38"/>
  <c r="AA37"/>
  <c r="AA36"/>
  <c r="AA35"/>
  <c r="AA34"/>
  <c r="AA33"/>
  <c r="AA32"/>
  <c r="AA31"/>
  <c r="AE41"/>
  <c r="AE40"/>
  <c r="AE39"/>
  <c r="AE38"/>
  <c r="AE37"/>
  <c r="AE36"/>
  <c r="AE35"/>
  <c r="AE34"/>
  <c r="AE33"/>
  <c r="AE32"/>
  <c r="AE31"/>
  <c r="AE30"/>
  <c r="AE29"/>
  <c r="AG11" i="11"/>
  <c r="AE28" i="8"/>
  <c r="AE27"/>
  <c r="AC41"/>
  <c r="AC40"/>
  <c r="AC39"/>
  <c r="AC38"/>
  <c r="AC37"/>
  <c r="AC36"/>
  <c r="AC35"/>
  <c r="AC34"/>
  <c r="AC33"/>
  <c r="AC32"/>
  <c r="AC31"/>
  <c r="AC30"/>
  <c r="AC29"/>
  <c r="AC28"/>
  <c r="AC27"/>
  <c r="AC8"/>
  <c r="Y8"/>
  <c r="X41"/>
  <c r="Y41"/>
  <c r="Z23" i="11"/>
  <c r="X40" i="8"/>
  <c r="X39"/>
  <c r="X38"/>
  <c r="X37"/>
  <c r="Y37"/>
  <c r="Z19" i="11"/>
  <c r="X36" i="8"/>
  <c r="Y36"/>
  <c r="W18" i="4"/>
  <c r="X35" i="8"/>
  <c r="X34"/>
  <c r="Y34"/>
  <c r="W16" i="4"/>
  <c r="X33" i="8"/>
  <c r="Y33"/>
  <c r="Z15" i="11"/>
  <c r="X32" i="8"/>
  <c r="Y32"/>
  <c r="W14" i="4"/>
  <c r="X31" i="8"/>
  <c r="Y31"/>
  <c r="Z13" i="11"/>
  <c r="Y40" i="8"/>
  <c r="W22" i="4"/>
  <c r="Y38" i="8"/>
  <c r="W20" i="4"/>
  <c r="V40" i="8"/>
  <c r="V39"/>
  <c r="V38"/>
  <c r="V37"/>
  <c r="V36"/>
  <c r="V35"/>
  <c r="V34"/>
  <c r="V33"/>
  <c r="V32"/>
  <c r="V31"/>
  <c r="V30"/>
  <c r="X30"/>
  <c r="V29"/>
  <c r="AA29"/>
  <c r="V28"/>
  <c r="AA28"/>
  <c r="V27"/>
  <c r="AA27"/>
  <c r="V41"/>
  <c r="J21"/>
  <c r="I21"/>
  <c r="J20"/>
  <c r="I20"/>
  <c r="D63"/>
  <c r="D62"/>
  <c r="A68" i="9"/>
  <c r="AH23" i="11"/>
  <c r="AH21"/>
  <c r="AH19"/>
  <c r="AH17"/>
  <c r="AH15"/>
  <c r="AH13"/>
  <c r="AH11"/>
  <c r="AH9"/>
  <c r="AG23"/>
  <c r="AG22"/>
  <c r="AG21"/>
  <c r="AG20"/>
  <c r="AG19"/>
  <c r="AG18"/>
  <c r="AG17"/>
  <c r="AG16"/>
  <c r="AG15"/>
  <c r="AG14"/>
  <c r="AG13"/>
  <c r="AG12"/>
  <c r="AG10"/>
  <c r="AG9"/>
  <c r="AF23"/>
  <c r="AF22"/>
  <c r="AF21"/>
  <c r="AF20"/>
  <c r="AF19"/>
  <c r="AF18"/>
  <c r="AF17"/>
  <c r="AF16"/>
  <c r="AF15"/>
  <c r="AF14"/>
  <c r="AF13"/>
  <c r="AF12"/>
  <c r="AF11"/>
  <c r="AF10"/>
  <c r="AF9"/>
  <c r="AE23"/>
  <c r="AE22"/>
  <c r="AE21"/>
  <c r="AE20"/>
  <c r="AE19"/>
  <c r="AE18"/>
  <c r="AE17"/>
  <c r="AE16"/>
  <c r="AE15"/>
  <c r="AE14"/>
  <c r="AE13"/>
  <c r="AE12"/>
  <c r="AE11"/>
  <c r="AE10"/>
  <c r="AE9"/>
  <c r="AF41" i="8"/>
  <c r="AF23" i="4"/>
  <c r="AF40" i="8"/>
  <c r="AI22" i="11"/>
  <c r="AF39" i="8"/>
  <c r="AF21" i="4"/>
  <c r="AF38" i="8"/>
  <c r="AI20" i="11"/>
  <c r="AF37" i="8"/>
  <c r="AF19" i="4"/>
  <c r="AF36" i="8"/>
  <c r="AI18" i="11"/>
  <c r="AF35" i="8"/>
  <c r="AF17" i="4"/>
  <c r="AF34" i="8"/>
  <c r="AI16" i="11"/>
  <c r="AF33" i="8"/>
  <c r="AF15" i="4"/>
  <c r="AF32" i="8"/>
  <c r="AI14" i="11"/>
  <c r="AF31" i="8"/>
  <c r="AF13" i="4"/>
  <c r="AF30" i="8"/>
  <c r="AI12" i="11"/>
  <c r="AF29" i="8"/>
  <c r="AF11" i="4"/>
  <c r="AF28" i="8"/>
  <c r="AI10" i="11"/>
  <c r="AF27" i="8"/>
  <c r="AF9" i="4"/>
  <c r="Y39" i="8"/>
  <c r="Z21" i="11"/>
  <c r="Y35" i="8"/>
  <c r="Z17" i="11"/>
  <c r="D18" i="8"/>
  <c r="E18"/>
  <c r="F18"/>
  <c r="G18"/>
  <c r="H18"/>
  <c r="I18"/>
  <c r="J18"/>
  <c r="D17"/>
  <c r="E17"/>
  <c r="F17"/>
  <c r="G17"/>
  <c r="H17"/>
  <c r="I17"/>
  <c r="J17"/>
  <c r="I69" i="14"/>
  <c r="I68"/>
  <c r="J68"/>
  <c r="A66" i="9"/>
  <c r="A67"/>
  <c r="A8" i="8"/>
  <c r="J56" i="14"/>
  <c r="J58"/>
  <c r="H56"/>
  <c r="H58"/>
  <c r="J19" i="8"/>
  <c r="I19"/>
  <c r="X28"/>
  <c r="Y28"/>
  <c r="W10" i="4"/>
  <c r="AA30" i="8"/>
  <c r="X29"/>
  <c r="Y29"/>
  <c r="Z11" i="11"/>
  <c r="X27" i="8"/>
  <c r="Y30"/>
  <c r="W12" i="4"/>
  <c r="W13"/>
  <c r="W15"/>
  <c r="W17"/>
  <c r="W19"/>
  <c r="W21"/>
  <c r="W23"/>
  <c r="Z14" i="11"/>
  <c r="Z16"/>
  <c r="Z18"/>
  <c r="Z20"/>
  <c r="Z22"/>
  <c r="AF10" i="4"/>
  <c r="AF12"/>
  <c r="AF14"/>
  <c r="AF16"/>
  <c r="AF18"/>
  <c r="AF20"/>
  <c r="AF22"/>
  <c r="AI9" i="11"/>
  <c r="AI11"/>
  <c r="AI13"/>
  <c r="AI15"/>
  <c r="AI17"/>
  <c r="AI19"/>
  <c r="AI21"/>
  <c r="AI23"/>
  <c r="G39" i="14"/>
  <c r="K50" i="8"/>
  <c r="R50"/>
  <c r="Q50"/>
  <c r="P50"/>
  <c r="O50"/>
  <c r="N50"/>
  <c r="J50"/>
  <c r="I50"/>
  <c r="H50"/>
  <c r="G50"/>
  <c r="F50"/>
  <c r="E50"/>
  <c r="D50"/>
  <c r="C50"/>
  <c r="A50"/>
  <c r="A52" i="10"/>
  <c r="A51"/>
  <c r="A50"/>
  <c r="A49"/>
  <c r="A48"/>
  <c r="A47"/>
  <c r="A46"/>
  <c r="A45"/>
  <c r="Z10" i="11"/>
  <c r="Z12"/>
  <c r="W11" i="4"/>
  <c r="Y27" i="8"/>
  <c r="Z9" i="11"/>
  <c r="J57" i="14"/>
  <c r="W9" i="4"/>
  <c r="J4" i="16"/>
  <c r="H4"/>
  <c r="F4"/>
  <c r="D4"/>
  <c r="B4"/>
  <c r="B221" i="11"/>
  <c r="F221"/>
  <c r="A197"/>
  <c r="H191"/>
  <c r="F191"/>
  <c r="B191"/>
  <c r="A170"/>
  <c r="A171"/>
  <c r="A172"/>
  <c r="A168"/>
  <c r="A169"/>
  <c r="A167"/>
  <c r="N161"/>
  <c r="R161"/>
  <c r="L161"/>
  <c r="H161"/>
  <c r="F161"/>
  <c r="A137"/>
  <c r="H131"/>
  <c r="F131"/>
  <c r="A107"/>
  <c r="A108"/>
  <c r="B101"/>
  <c r="A77"/>
  <c r="A78"/>
  <c r="N71"/>
  <c r="R71"/>
  <c r="L71"/>
  <c r="F71"/>
  <c r="A47"/>
  <c r="Y23"/>
  <c r="X23"/>
  <c r="W23"/>
  <c r="V23"/>
  <c r="Y22"/>
  <c r="X22"/>
  <c r="W22"/>
  <c r="V22"/>
  <c r="Y21"/>
  <c r="X21"/>
  <c r="W21"/>
  <c r="V21"/>
  <c r="Y20"/>
  <c r="X20"/>
  <c r="W20"/>
  <c r="V20"/>
  <c r="Y19"/>
  <c r="X19"/>
  <c r="W19"/>
  <c r="V19"/>
  <c r="Y18"/>
  <c r="X18"/>
  <c r="W18"/>
  <c r="V18"/>
  <c r="Y17"/>
  <c r="X17"/>
  <c r="W17"/>
  <c r="V17"/>
  <c r="Y16"/>
  <c r="X16"/>
  <c r="W16"/>
  <c r="V16"/>
  <c r="Y15"/>
  <c r="X15"/>
  <c r="W15"/>
  <c r="V15"/>
  <c r="Y14"/>
  <c r="X14"/>
  <c r="W14"/>
  <c r="V14"/>
  <c r="X13"/>
  <c r="W13"/>
  <c r="V13"/>
  <c r="Y12"/>
  <c r="X12"/>
  <c r="W12"/>
  <c r="V12"/>
  <c r="Y11"/>
  <c r="X11"/>
  <c r="W11"/>
  <c r="V11"/>
  <c r="Y10"/>
  <c r="X10"/>
  <c r="W10"/>
  <c r="V10"/>
  <c r="Y9"/>
  <c r="X9"/>
  <c r="W9"/>
  <c r="V9"/>
  <c r="A197" i="4"/>
  <c r="A198"/>
  <c r="A199"/>
  <c r="A200"/>
  <c r="A201"/>
  <c r="A202"/>
  <c r="A203"/>
  <c r="A204"/>
  <c r="A205"/>
  <c r="A206"/>
  <c r="A207"/>
  <c r="A208"/>
  <c r="A209"/>
  <c r="A210"/>
  <c r="A211"/>
  <c r="A212"/>
  <c r="A213"/>
  <c r="A214"/>
  <c r="A215"/>
  <c r="A216"/>
  <c r="A217"/>
  <c r="A218"/>
  <c r="A219"/>
  <c r="A220"/>
  <c r="A221"/>
  <c r="A167"/>
  <c r="G166"/>
  <c r="A137"/>
  <c r="G136"/>
  <c r="L136"/>
  <c r="A107"/>
  <c r="A108"/>
  <c r="G106"/>
  <c r="A77"/>
  <c r="A78"/>
  <c r="G76"/>
  <c r="A47"/>
  <c r="A48"/>
  <c r="G46"/>
  <c r="C27"/>
  <c r="AE23"/>
  <c r="AD23"/>
  <c r="AC23"/>
  <c r="AB23"/>
  <c r="V23"/>
  <c r="U23"/>
  <c r="T23"/>
  <c r="S23"/>
  <c r="AE22"/>
  <c r="AD22"/>
  <c r="AC22"/>
  <c r="AB22"/>
  <c r="V22"/>
  <c r="U22"/>
  <c r="T22"/>
  <c r="S22"/>
  <c r="AE21"/>
  <c r="AD21"/>
  <c r="AC21"/>
  <c r="AB21"/>
  <c r="V21"/>
  <c r="U21"/>
  <c r="T21"/>
  <c r="S21"/>
  <c r="AE20"/>
  <c r="AD20"/>
  <c r="AC20"/>
  <c r="AB20"/>
  <c r="V20"/>
  <c r="U20"/>
  <c r="T20"/>
  <c r="S20"/>
  <c r="AE19"/>
  <c r="AD19"/>
  <c r="AC19"/>
  <c r="AB19"/>
  <c r="V19"/>
  <c r="U19"/>
  <c r="T19"/>
  <c r="S19"/>
  <c r="AE18"/>
  <c r="AD18"/>
  <c r="AC18"/>
  <c r="AB18"/>
  <c r="V18"/>
  <c r="U18"/>
  <c r="T18"/>
  <c r="S18"/>
  <c r="AE17"/>
  <c r="AD17"/>
  <c r="AC17"/>
  <c r="AB17"/>
  <c r="V17"/>
  <c r="U17"/>
  <c r="T17"/>
  <c r="S17"/>
  <c r="AE16"/>
  <c r="AD16"/>
  <c r="AC16"/>
  <c r="AB16"/>
  <c r="V16"/>
  <c r="U16"/>
  <c r="T16"/>
  <c r="S16"/>
  <c r="AE15"/>
  <c r="AD15"/>
  <c r="AC15"/>
  <c r="AB15"/>
  <c r="V15"/>
  <c r="U15"/>
  <c r="T15"/>
  <c r="S15"/>
  <c r="AE14"/>
  <c r="AD14"/>
  <c r="AC14"/>
  <c r="AB14"/>
  <c r="V14"/>
  <c r="U14"/>
  <c r="T14"/>
  <c r="S14"/>
  <c r="AD13"/>
  <c r="AC13"/>
  <c r="AB13"/>
  <c r="U13"/>
  <c r="T13"/>
  <c r="S13"/>
  <c r="AE12"/>
  <c r="AD12"/>
  <c r="AC12"/>
  <c r="AB12"/>
  <c r="V12"/>
  <c r="U12"/>
  <c r="T12"/>
  <c r="S12"/>
  <c r="AE11"/>
  <c r="AD11"/>
  <c r="AC11"/>
  <c r="AB11"/>
  <c r="V11"/>
  <c r="U11"/>
  <c r="T11"/>
  <c r="S11"/>
  <c r="AE10"/>
  <c r="AD10"/>
  <c r="AC10"/>
  <c r="AB10"/>
  <c r="V10"/>
  <c r="U10"/>
  <c r="T10"/>
  <c r="S10"/>
  <c r="AE9"/>
  <c r="AD9"/>
  <c r="AC9"/>
  <c r="AB9"/>
  <c r="V9"/>
  <c r="U9"/>
  <c r="T9"/>
  <c r="S9"/>
  <c r="AG6"/>
  <c r="X6"/>
  <c r="B3"/>
  <c r="G137" i="3"/>
  <c r="M126"/>
  <c r="K126"/>
  <c r="I126"/>
  <c r="G126"/>
  <c r="I114"/>
  <c r="G114"/>
  <c r="K100"/>
  <c r="I100"/>
  <c r="G100"/>
  <c r="K85"/>
  <c r="I85"/>
  <c r="G85"/>
  <c r="E61"/>
  <c r="B51"/>
  <c r="B52"/>
  <c r="B53"/>
  <c r="B54"/>
  <c r="B55"/>
  <c r="N46"/>
  <c r="M46"/>
  <c r="N45"/>
  <c r="M45"/>
  <c r="N44"/>
  <c r="M44"/>
  <c r="N43"/>
  <c r="M43"/>
  <c r="N42"/>
  <c r="M42"/>
  <c r="D42"/>
  <c r="E42"/>
  <c r="F42"/>
  <c r="G42"/>
  <c r="H42"/>
  <c r="I42"/>
  <c r="C42"/>
  <c r="N41"/>
  <c r="M41"/>
  <c r="N40"/>
  <c r="M40"/>
  <c r="E10"/>
  <c r="M129"/>
  <c r="D10"/>
  <c r="K129"/>
  <c r="C10"/>
  <c r="I129"/>
  <c r="B10"/>
  <c r="G129"/>
  <c r="E9"/>
  <c r="M128"/>
  <c r="D9"/>
  <c r="K128"/>
  <c r="C9"/>
  <c r="I128"/>
  <c r="B9"/>
  <c r="G128"/>
  <c r="E7"/>
  <c r="H44"/>
  <c r="D7"/>
  <c r="D44"/>
  <c r="B7"/>
  <c r="B44"/>
  <c r="F6"/>
  <c r="I41"/>
  <c r="B6"/>
  <c r="B6" i="11"/>
  <c r="F5" i="3"/>
  <c r="F5" i="11"/>
  <c r="F4" i="3"/>
  <c r="F4" i="11"/>
  <c r="F3" i="3"/>
  <c r="F3" i="11"/>
  <c r="B3" i="3"/>
  <c r="B3" i="11"/>
  <c r="B57" i="10"/>
  <c r="B54"/>
  <c r="B8"/>
  <c r="B7"/>
  <c r="M46" i="8"/>
  <c r="N46"/>
  <c r="C46"/>
  <c r="D46"/>
  <c r="M44"/>
  <c r="J44"/>
  <c r="I44"/>
  <c r="H44"/>
  <c r="G44"/>
  <c r="F44"/>
  <c r="E44"/>
  <c r="D44"/>
  <c r="C44"/>
  <c r="M43"/>
  <c r="E43"/>
  <c r="F43"/>
  <c r="G43"/>
  <c r="H43"/>
  <c r="I43"/>
  <c r="D43"/>
  <c r="J43"/>
  <c r="AG40"/>
  <c r="Z40"/>
  <c r="M40"/>
  <c r="M41"/>
  <c r="D40"/>
  <c r="D41"/>
  <c r="C40"/>
  <c r="C41"/>
  <c r="Z39"/>
  <c r="J39"/>
  <c r="I39"/>
  <c r="H39"/>
  <c r="G39"/>
  <c r="F39"/>
  <c r="E39"/>
  <c r="D39"/>
  <c r="C39"/>
  <c r="AG38"/>
  <c r="Z38"/>
  <c r="Z37"/>
  <c r="AG36"/>
  <c r="Z36"/>
  <c r="Z35"/>
  <c r="AG34"/>
  <c r="Z34"/>
  <c r="T34"/>
  <c r="S34"/>
  <c r="R34"/>
  <c r="Q34"/>
  <c r="P34"/>
  <c r="O34"/>
  <c r="N34"/>
  <c r="M34"/>
  <c r="C34"/>
  <c r="M39"/>
  <c r="N39"/>
  <c r="Z33"/>
  <c r="Z32"/>
  <c r="T32"/>
  <c r="T33"/>
  <c r="S32"/>
  <c r="S33"/>
  <c r="R32"/>
  <c r="R33"/>
  <c r="Q32"/>
  <c r="Q33"/>
  <c r="P32"/>
  <c r="P33"/>
  <c r="O32"/>
  <c r="O33"/>
  <c r="N32"/>
  <c r="N33"/>
  <c r="M32"/>
  <c r="M33"/>
  <c r="C32"/>
  <c r="C33"/>
  <c r="AE13" i="4"/>
  <c r="Y13" i="11"/>
  <c r="Z31" i="8"/>
  <c r="D31"/>
  <c r="J31"/>
  <c r="AG30"/>
  <c r="Z30"/>
  <c r="T30"/>
  <c r="T35"/>
  <c r="S30"/>
  <c r="S35"/>
  <c r="R30"/>
  <c r="R35"/>
  <c r="Q30"/>
  <c r="Q35"/>
  <c r="P30"/>
  <c r="P35"/>
  <c r="O30"/>
  <c r="O35"/>
  <c r="N30"/>
  <c r="N35"/>
  <c r="M30"/>
  <c r="C30"/>
  <c r="Z29"/>
  <c r="AG28"/>
  <c r="Z28"/>
  <c r="Z27"/>
  <c r="M27"/>
  <c r="AA7" i="11"/>
  <c r="C27" i="8"/>
  <c r="AJ7" i="11"/>
  <c r="O25" i="8"/>
  <c r="P25"/>
  <c r="Q25"/>
  <c r="R25"/>
  <c r="S25"/>
  <c r="T25"/>
  <c r="N25"/>
  <c r="D25"/>
  <c r="E25"/>
  <c r="F25"/>
  <c r="G25"/>
  <c r="H25"/>
  <c r="I25"/>
  <c r="J25"/>
  <c r="T19"/>
  <c r="T50"/>
  <c r="S19"/>
  <c r="S50"/>
  <c r="R19"/>
  <c r="Q19"/>
  <c r="P19"/>
  <c r="O19"/>
  <c r="N19"/>
  <c r="M19"/>
  <c r="M50"/>
  <c r="E16"/>
  <c r="O44"/>
  <c r="D16"/>
  <c r="N44"/>
  <c r="D15"/>
  <c r="N40"/>
  <c r="N41"/>
  <c r="D14"/>
  <c r="D32"/>
  <c r="D33"/>
  <c r="D13"/>
  <c r="D30"/>
  <c r="D12"/>
  <c r="E12"/>
  <c r="E34"/>
  <c r="D34"/>
  <c r="D11"/>
  <c r="E11"/>
  <c r="F11"/>
  <c r="G11"/>
  <c r="H11"/>
  <c r="I11"/>
  <c r="J11"/>
  <c r="G10"/>
  <c r="E10"/>
  <c r="H10"/>
  <c r="D10"/>
  <c r="A10"/>
  <c r="H9"/>
  <c r="E9"/>
  <c r="G9"/>
  <c r="D9"/>
  <c r="A9"/>
  <c r="D8"/>
  <c r="K68" i="14"/>
  <c r="C23" i="10"/>
  <c r="J26"/>
  <c r="J27"/>
  <c r="H68" i="14"/>
  <c r="B23" i="10"/>
  <c r="J49" i="14"/>
  <c r="H49"/>
  <c r="J48"/>
  <c r="H48"/>
  <c r="J47"/>
  <c r="H47"/>
  <c r="H40"/>
  <c r="H39"/>
  <c r="G41"/>
  <c r="B23"/>
  <c r="G37"/>
  <c r="G40"/>
  <c r="O9"/>
  <c r="I9"/>
  <c r="H9"/>
  <c r="G9"/>
  <c r="F9"/>
  <c r="E9"/>
  <c r="D9"/>
  <c r="I8"/>
  <c r="H8"/>
  <c r="G8"/>
  <c r="F8"/>
  <c r="E8"/>
  <c r="J8"/>
  <c r="D8"/>
  <c r="I7"/>
  <c r="H7"/>
  <c r="G7"/>
  <c r="F7"/>
  <c r="E7"/>
  <c r="J7"/>
  <c r="D7"/>
  <c r="I6"/>
  <c r="H6"/>
  <c r="G6"/>
  <c r="F6"/>
  <c r="E6"/>
  <c r="J6"/>
  <c r="D6"/>
  <c r="I5"/>
  <c r="H5"/>
  <c r="G5"/>
  <c r="F5"/>
  <c r="E5"/>
  <c r="J5"/>
  <c r="D5"/>
  <c r="I4"/>
  <c r="H4"/>
  <c r="G4"/>
  <c r="F4"/>
  <c r="E4"/>
  <c r="J4"/>
  <c r="D4"/>
  <c r="A65" i="9"/>
  <c r="M35" i="8"/>
  <c r="E3" i="10"/>
  <c r="F42" i="14"/>
  <c r="C35" i="8"/>
  <c r="E14"/>
  <c r="E32"/>
  <c r="E33"/>
  <c r="AA18" i="11"/>
  <c r="AA22"/>
  <c r="AJ12"/>
  <c r="Z46" i="8"/>
  <c r="Y42"/>
  <c r="M45"/>
  <c r="C45"/>
  <c r="D45"/>
  <c r="AA14" i="11"/>
  <c r="AA10"/>
  <c r="AA11"/>
  <c r="AA12"/>
  <c r="AA13"/>
  <c r="K5" i="14"/>
  <c r="L5"/>
  <c r="K8"/>
  <c r="L8"/>
  <c r="C25" i="10"/>
  <c r="E46" i="8"/>
  <c r="A49" i="4"/>
  <c r="G49" i="14"/>
  <c r="K4"/>
  <c r="J9"/>
  <c r="L4"/>
  <c r="K6"/>
  <c r="L6"/>
  <c r="K7"/>
  <c r="L7"/>
  <c r="H71"/>
  <c r="H70"/>
  <c r="G51"/>
  <c r="G45"/>
  <c r="G52"/>
  <c r="G50"/>
  <c r="G46"/>
  <c r="G44"/>
  <c r="T39" i="8"/>
  <c r="O39"/>
  <c r="P39"/>
  <c r="Q39"/>
  <c r="R39"/>
  <c r="S39"/>
  <c r="D35"/>
  <c r="M47"/>
  <c r="M48"/>
  <c r="Z44"/>
  <c r="A79" i="4"/>
  <c r="A109"/>
  <c r="G48" i="14"/>
  <c r="K69"/>
  <c r="C24" i="10"/>
  <c r="F12" i="8"/>
  <c r="E13"/>
  <c r="E15"/>
  <c r="F16"/>
  <c r="D27"/>
  <c r="D47"/>
  <c r="N27"/>
  <c r="O27"/>
  <c r="P27"/>
  <c r="Q27"/>
  <c r="R27"/>
  <c r="S27"/>
  <c r="T27"/>
  <c r="AG27"/>
  <c r="AJ10" i="11"/>
  <c r="AI28" i="8"/>
  <c r="AG29"/>
  <c r="AI30"/>
  <c r="E31"/>
  <c r="F31"/>
  <c r="G31"/>
  <c r="H31"/>
  <c r="I31"/>
  <c r="AG31"/>
  <c r="AG32"/>
  <c r="J40"/>
  <c r="J41"/>
  <c r="O46"/>
  <c r="C47"/>
  <c r="B28" i="3"/>
  <c r="C33"/>
  <c r="B34"/>
  <c r="B35"/>
  <c r="F35"/>
  <c r="B41"/>
  <c r="D41"/>
  <c r="F41"/>
  <c r="H41"/>
  <c r="C44"/>
  <c r="E44"/>
  <c r="G44"/>
  <c r="I44"/>
  <c r="C65"/>
  <c r="C73"/>
  <c r="C85"/>
  <c r="C87"/>
  <c r="C88"/>
  <c r="G88"/>
  <c r="C117"/>
  <c r="G116"/>
  <c r="C126"/>
  <c r="C128"/>
  <c r="C139"/>
  <c r="F3" i="4"/>
  <c r="F4"/>
  <c r="F5"/>
  <c r="AG7"/>
  <c r="V13"/>
  <c r="L46"/>
  <c r="AA23" i="11"/>
  <c r="AA19"/>
  <c r="AA15"/>
  <c r="AA21"/>
  <c r="AA20"/>
  <c r="AA17"/>
  <c r="AA16"/>
  <c r="AA9"/>
  <c r="G47" i="14"/>
  <c r="AG33" i="8"/>
  <c r="AJ16" i="11"/>
  <c r="AI34" i="8"/>
  <c r="AG35"/>
  <c r="AJ18" i="11"/>
  <c r="AI36" i="8"/>
  <c r="AG37"/>
  <c r="AJ20" i="11"/>
  <c r="AI38" i="8"/>
  <c r="AG39"/>
  <c r="E40"/>
  <c r="AJ22" i="11"/>
  <c r="AI40" i="8"/>
  <c r="Z41"/>
  <c r="Z42"/>
  <c r="B59" i="10"/>
  <c r="AG41" i="8"/>
  <c r="AF42"/>
  <c r="N43"/>
  <c r="B33" i="3"/>
  <c r="D33"/>
  <c r="D34"/>
  <c r="D35"/>
  <c r="B37"/>
  <c r="C41"/>
  <c r="E41"/>
  <c r="G41"/>
  <c r="B43"/>
  <c r="C43"/>
  <c r="D43"/>
  <c r="E43"/>
  <c r="F43"/>
  <c r="G43"/>
  <c r="H43"/>
  <c r="I43"/>
  <c r="F44"/>
  <c r="B45"/>
  <c r="C45"/>
  <c r="D45"/>
  <c r="E45"/>
  <c r="F45"/>
  <c r="G45"/>
  <c r="H45"/>
  <c r="I45"/>
  <c r="C62"/>
  <c r="C64"/>
  <c r="C100"/>
  <c r="C101"/>
  <c r="C102"/>
  <c r="C103"/>
  <c r="C114"/>
  <c r="C116"/>
  <c r="C129"/>
  <c r="C140"/>
  <c r="B6" i="4"/>
  <c r="X7"/>
  <c r="L76"/>
  <c r="A138"/>
  <c r="A168"/>
  <c r="A79" i="11"/>
  <c r="L166" i="4"/>
  <c r="A48" i="11"/>
  <c r="A109"/>
  <c r="A173"/>
  <c r="F101"/>
  <c r="L101"/>
  <c r="H101"/>
  <c r="L131"/>
  <c r="A138"/>
  <c r="L191"/>
  <c r="N191"/>
  <c r="A198"/>
  <c r="D48" i="8"/>
  <c r="D49"/>
  <c r="D51"/>
  <c r="F14"/>
  <c r="F32"/>
  <c r="F33"/>
  <c r="X23" i="4"/>
  <c r="AG17"/>
  <c r="AG23"/>
  <c r="AG15"/>
  <c r="Z47" i="8"/>
  <c r="AG19" i="4"/>
  <c r="AG12"/>
  <c r="AG22"/>
  <c r="AG18"/>
  <c r="AG14"/>
  <c r="AG21"/>
  <c r="X22"/>
  <c r="X19"/>
  <c r="X18"/>
  <c r="X15"/>
  <c r="X14"/>
  <c r="X12"/>
  <c r="AG20"/>
  <c r="AG16"/>
  <c r="AG10"/>
  <c r="AG13"/>
  <c r="AG11"/>
  <c r="AG9"/>
  <c r="G59" i="14"/>
  <c r="I46" i="3"/>
  <c r="I8" i="11"/>
  <c r="A174"/>
  <c r="A49"/>
  <c r="A80"/>
  <c r="A169" i="4"/>
  <c r="A139"/>
  <c r="I116" i="3"/>
  <c r="C115"/>
  <c r="I101"/>
  <c r="D26"/>
  <c r="K102"/>
  <c r="K101"/>
  <c r="F26"/>
  <c r="G101"/>
  <c r="B26"/>
  <c r="C72"/>
  <c r="I63"/>
  <c r="H22"/>
  <c r="I62"/>
  <c r="H31"/>
  <c r="K63"/>
  <c r="I22"/>
  <c r="G63"/>
  <c r="G22"/>
  <c r="AJ21" i="11"/>
  <c r="AI39" i="8"/>
  <c r="AJ17" i="11"/>
  <c r="AI35" i="8"/>
  <c r="M127" i="3"/>
  <c r="I127"/>
  <c r="K127"/>
  <c r="G127"/>
  <c r="K86"/>
  <c r="D24"/>
  <c r="G86"/>
  <c r="B24"/>
  <c r="I86"/>
  <c r="C24"/>
  <c r="AJ14" i="11"/>
  <c r="AI32" i="8"/>
  <c r="AJ11" i="11"/>
  <c r="AI29" i="8"/>
  <c r="G16"/>
  <c r="P44"/>
  <c r="G14"/>
  <c r="G12"/>
  <c r="F34"/>
  <c r="A80" i="4"/>
  <c r="E45" i="8"/>
  <c r="J45"/>
  <c r="H60" i="14"/>
  <c r="J60"/>
  <c r="H61"/>
  <c r="J61"/>
  <c r="F4" i="10"/>
  <c r="J70" i="14"/>
  <c r="L9"/>
  <c r="K9"/>
  <c r="M4"/>
  <c r="A50" i="4"/>
  <c r="E46" i="3"/>
  <c r="X11" i="4"/>
  <c r="X10"/>
  <c r="X9"/>
  <c r="H46" i="3"/>
  <c r="D46"/>
  <c r="C48" i="8"/>
  <c r="C49"/>
  <c r="C51"/>
  <c r="M49"/>
  <c r="M51"/>
  <c r="M8" i="14"/>
  <c r="M5"/>
  <c r="T191" i="11"/>
  <c r="R191"/>
  <c r="A199"/>
  <c r="A139"/>
  <c r="N101"/>
  <c r="A110"/>
  <c r="Q166" i="4"/>
  <c r="G115" i="3"/>
  <c r="B25"/>
  <c r="I115"/>
  <c r="D25"/>
  <c r="C70"/>
  <c r="C71"/>
  <c r="E75"/>
  <c r="C63"/>
  <c r="E67"/>
  <c r="T43" i="8"/>
  <c r="N45"/>
  <c r="O43"/>
  <c r="AJ23" i="11"/>
  <c r="AG42" i="8"/>
  <c r="B60" i="10"/>
  <c r="AI41" i="8"/>
  <c r="E41"/>
  <c r="F40"/>
  <c r="AJ19" i="11"/>
  <c r="AI37" i="8"/>
  <c r="AJ15" i="11"/>
  <c r="AI33" i="8"/>
  <c r="C137" i="3"/>
  <c r="C138"/>
  <c r="C127"/>
  <c r="K88"/>
  <c r="K87"/>
  <c r="I88"/>
  <c r="C86"/>
  <c r="P46" i="8"/>
  <c r="O47"/>
  <c r="O48"/>
  <c r="AJ13" i="11"/>
  <c r="AI31" i="8"/>
  <c r="AJ9" i="11"/>
  <c r="AI27" i="8"/>
  <c r="E27"/>
  <c r="F27"/>
  <c r="G27"/>
  <c r="H27"/>
  <c r="I27"/>
  <c r="J27"/>
  <c r="O40"/>
  <c r="O41"/>
  <c r="F15"/>
  <c r="F13"/>
  <c r="E30"/>
  <c r="E35"/>
  <c r="A110" i="4"/>
  <c r="H63" i="14"/>
  <c r="J63"/>
  <c r="H62"/>
  <c r="J62"/>
  <c r="E4" i="10"/>
  <c r="E9"/>
  <c r="J71" i="14"/>
  <c r="F46" i="8"/>
  <c r="E47"/>
  <c r="E48"/>
  <c r="N8" i="14"/>
  <c r="P8"/>
  <c r="N5"/>
  <c r="P5"/>
  <c r="G46" i="3"/>
  <c r="C46"/>
  <c r="X21" i="4"/>
  <c r="X20"/>
  <c r="X17"/>
  <c r="X16"/>
  <c r="X13"/>
  <c r="G62" i="3"/>
  <c r="G31"/>
  <c r="F46"/>
  <c r="B46"/>
  <c r="K62"/>
  <c r="I31"/>
  <c r="M7" i="14"/>
  <c r="N7"/>
  <c r="M6"/>
  <c r="N6"/>
  <c r="N47" i="8"/>
  <c r="N48"/>
  <c r="I8" i="4"/>
  <c r="C8" i="11"/>
  <c r="C8" i="4"/>
  <c r="F8" i="11"/>
  <c r="F8" i="4"/>
  <c r="G8" i="11"/>
  <c r="G8" i="4"/>
  <c r="F47" i="8"/>
  <c r="F48"/>
  <c r="G46"/>
  <c r="P40"/>
  <c r="P41"/>
  <c r="G15"/>
  <c r="F41"/>
  <c r="G40"/>
  <c r="X191" i="11"/>
  <c r="D8"/>
  <c r="D8" i="4"/>
  <c r="F9" i="10"/>
  <c r="G4"/>
  <c r="E49" i="8"/>
  <c r="E51"/>
  <c r="F45"/>
  <c r="A175" i="11"/>
  <c r="N49" i="8"/>
  <c r="N51"/>
  <c r="D52"/>
  <c r="D53"/>
  <c r="M9" i="14"/>
  <c r="N4"/>
  <c r="N9"/>
  <c r="P6"/>
  <c r="P7"/>
  <c r="H64"/>
  <c r="H69"/>
  <c r="B8" i="11"/>
  <c r="B8" i="4"/>
  <c r="A111"/>
  <c r="F30" i="8"/>
  <c r="F35"/>
  <c r="G13"/>
  <c r="P47"/>
  <c r="P48"/>
  <c r="Q46"/>
  <c r="O45"/>
  <c r="O49"/>
  <c r="O51"/>
  <c r="P43"/>
  <c r="A111" i="11"/>
  <c r="R101"/>
  <c r="A140"/>
  <c r="A200"/>
  <c r="C52" i="8"/>
  <c r="C53"/>
  <c r="H8" i="11"/>
  <c r="H8" i="4"/>
  <c r="E8" i="11"/>
  <c r="E8" i="4"/>
  <c r="A51"/>
  <c r="A81"/>
  <c r="G34" i="8"/>
  <c r="H12"/>
  <c r="G32"/>
  <c r="G33"/>
  <c r="H14"/>
  <c r="Q44"/>
  <c r="H16"/>
  <c r="I71" i="3"/>
  <c r="H23"/>
  <c r="I70"/>
  <c r="H32"/>
  <c r="K71"/>
  <c r="I23"/>
  <c r="G71"/>
  <c r="G23"/>
  <c r="K70"/>
  <c r="I32"/>
  <c r="G70"/>
  <c r="G32"/>
  <c r="A140" i="4"/>
  <c r="A170"/>
  <c r="A81" i="11"/>
  <c r="A50"/>
  <c r="J64" i="14"/>
  <c r="J69"/>
  <c r="P9"/>
  <c r="B28" i="10"/>
  <c r="A51" i="11"/>
  <c r="A82"/>
  <c r="A171" i="4"/>
  <c r="A82"/>
  <c r="A52"/>
  <c r="P45" i="8"/>
  <c r="P49"/>
  <c r="P51"/>
  <c r="Q43"/>
  <c r="R46"/>
  <c r="Q47"/>
  <c r="Q48"/>
  <c r="H13"/>
  <c r="G30"/>
  <c r="G35"/>
  <c r="E52"/>
  <c r="E53"/>
  <c r="F49"/>
  <c r="F51"/>
  <c r="G45"/>
  <c r="G9" i="10"/>
  <c r="H4"/>
  <c r="I4"/>
  <c r="I9"/>
  <c r="G41" i="8"/>
  <c r="H40"/>
  <c r="Q40"/>
  <c r="Q41"/>
  <c r="H15"/>
  <c r="P4" i="14"/>
  <c r="A141" i="4"/>
  <c r="I16" i="8"/>
  <c r="R44"/>
  <c r="I14"/>
  <c r="H32"/>
  <c r="H33"/>
  <c r="I12"/>
  <c r="H34"/>
  <c r="A201" i="11"/>
  <c r="A141"/>
  <c r="A112"/>
  <c r="A112" i="4"/>
  <c r="A176" i="11"/>
  <c r="H46" i="8"/>
  <c r="G47"/>
  <c r="G48"/>
  <c r="A177" i="11"/>
  <c r="A113"/>
  <c r="A142"/>
  <c r="A202"/>
  <c r="I34" i="8"/>
  <c r="J12"/>
  <c r="J34"/>
  <c r="I32"/>
  <c r="I33"/>
  <c r="J14"/>
  <c r="J32"/>
  <c r="J33"/>
  <c r="S44"/>
  <c r="J16"/>
  <c r="T44"/>
  <c r="T45"/>
  <c r="A142" i="4"/>
  <c r="H30" i="8"/>
  <c r="H35"/>
  <c r="I13"/>
  <c r="R47"/>
  <c r="R48"/>
  <c r="S46"/>
  <c r="A53" i="4"/>
  <c r="A83"/>
  <c r="A172"/>
  <c r="A83" i="11"/>
  <c r="A52"/>
  <c r="F52" i="8"/>
  <c r="F53"/>
  <c r="H47"/>
  <c r="H48"/>
  <c r="I46"/>
  <c r="A113" i="4"/>
  <c r="R40" i="8"/>
  <c r="R41"/>
  <c r="I15"/>
  <c r="H41"/>
  <c r="I40"/>
  <c r="I41"/>
  <c r="H9" i="10"/>
  <c r="G49" i="8"/>
  <c r="G51"/>
  <c r="H45"/>
  <c r="Q45"/>
  <c r="Q49"/>
  <c r="Q51"/>
  <c r="R43"/>
  <c r="R45"/>
  <c r="R49"/>
  <c r="R51"/>
  <c r="S43"/>
  <c r="S45"/>
  <c r="H49"/>
  <c r="H51"/>
  <c r="I45"/>
  <c r="S40"/>
  <c r="S41"/>
  <c r="J15"/>
  <c r="T40"/>
  <c r="T41"/>
  <c r="A114" i="4"/>
  <c r="T46" i="8"/>
  <c r="T47"/>
  <c r="T48"/>
  <c r="T49"/>
  <c r="T51"/>
  <c r="S47"/>
  <c r="S48"/>
  <c r="J13"/>
  <c r="J30"/>
  <c r="J35"/>
  <c r="I30"/>
  <c r="I35"/>
  <c r="A178" i="11"/>
  <c r="G52" i="8"/>
  <c r="B12" i="10"/>
  <c r="B4" i="3"/>
  <c r="J46" i="8"/>
  <c r="J47"/>
  <c r="J48"/>
  <c r="J49"/>
  <c r="I47"/>
  <c r="I48"/>
  <c r="A53" i="11"/>
  <c r="A84"/>
  <c r="A173" i="4"/>
  <c r="A84"/>
  <c r="A54"/>
  <c r="A143"/>
  <c r="A203" i="11"/>
  <c r="A143"/>
  <c r="A114"/>
  <c r="G53" i="8"/>
  <c r="A115" i="11"/>
  <c r="A144"/>
  <c r="A55" i="4"/>
  <c r="A85"/>
  <c r="H52" i="8"/>
  <c r="H53"/>
  <c r="A144" i="4"/>
  <c r="A174"/>
  <c r="A85" i="11"/>
  <c r="A54"/>
  <c r="B4"/>
  <c r="B4" i="4"/>
  <c r="D119" i="3"/>
  <c r="D67"/>
  <c r="D142"/>
  <c r="F142"/>
  <c r="G142"/>
  <c r="B19"/>
  <c r="D131"/>
  <c r="D105"/>
  <c r="D90"/>
  <c r="A179" i="11"/>
  <c r="J51" i="8"/>
  <c r="A204" i="11"/>
  <c r="A115" i="4"/>
  <c r="I49" i="8"/>
  <c r="I51"/>
  <c r="S49"/>
  <c r="S51"/>
  <c r="B27" i="10"/>
  <c r="AG43" i="8"/>
  <c r="AG44"/>
  <c r="AG45"/>
  <c r="AG46"/>
  <c r="AG47"/>
  <c r="B29" i="10"/>
  <c r="C22"/>
  <c r="A11"/>
  <c r="C5"/>
  <c r="B18" i="11"/>
  <c r="B18" i="4"/>
  <c r="I52" i="8"/>
  <c r="I53"/>
  <c r="A116" i="4"/>
  <c r="A205" i="11"/>
  <c r="J52" i="8"/>
  <c r="J53"/>
  <c r="A180" i="11"/>
  <c r="J90" i="3"/>
  <c r="H90"/>
  <c r="F90"/>
  <c r="L131"/>
  <c r="M131"/>
  <c r="E18"/>
  <c r="J131"/>
  <c r="K131"/>
  <c r="D18"/>
  <c r="H131"/>
  <c r="I131"/>
  <c r="C18"/>
  <c r="F131"/>
  <c r="G131"/>
  <c r="B18"/>
  <c r="D75"/>
  <c r="J67"/>
  <c r="K67"/>
  <c r="I13"/>
  <c r="H67"/>
  <c r="I67"/>
  <c r="H13"/>
  <c r="F67"/>
  <c r="G67"/>
  <c r="G13"/>
  <c r="H9" i="4"/>
  <c r="F9"/>
  <c r="D9"/>
  <c r="B9"/>
  <c r="I9"/>
  <c r="G9"/>
  <c r="E9"/>
  <c r="C9"/>
  <c r="A145"/>
  <c r="A145" i="11"/>
  <c r="A116"/>
  <c r="J105" i="3"/>
  <c r="K105"/>
  <c r="F17"/>
  <c r="H105"/>
  <c r="I105"/>
  <c r="D17"/>
  <c r="F105"/>
  <c r="G105"/>
  <c r="B17"/>
  <c r="H119"/>
  <c r="I119"/>
  <c r="D16"/>
  <c r="F119"/>
  <c r="G119"/>
  <c r="B16"/>
  <c r="H9" i="11"/>
  <c r="F9"/>
  <c r="D9"/>
  <c r="B9"/>
  <c r="I9"/>
  <c r="G9"/>
  <c r="E9"/>
  <c r="C9"/>
  <c r="A55"/>
  <c r="A86"/>
  <c r="A175" i="4"/>
  <c r="A86"/>
  <c r="A56"/>
  <c r="E10" i="10"/>
  <c r="F10"/>
  <c r="G10"/>
  <c r="I10"/>
  <c r="H10"/>
  <c r="I6" i="11"/>
  <c r="V165"/>
  <c r="I6" i="4"/>
  <c r="E6"/>
  <c r="B13" i="10"/>
  <c r="B26"/>
  <c r="B11"/>
  <c r="B5" i="3"/>
  <c r="B5" i="4"/>
  <c r="B22" i="10"/>
  <c r="B16"/>
  <c r="B24"/>
  <c r="B25"/>
  <c r="A13"/>
  <c r="B3" i="16"/>
  <c r="B6"/>
  <c r="A26" i="10"/>
  <c r="B196" i="11"/>
  <c r="B43"/>
  <c r="C194"/>
  <c r="B221" i="4"/>
  <c r="B43"/>
  <c r="C194"/>
  <c r="A57"/>
  <c r="A87"/>
  <c r="D15" i="11"/>
  <c r="G11" i="10"/>
  <c r="D15" i="4"/>
  <c r="D16" i="11"/>
  <c r="H11" i="10"/>
  <c r="D16" i="4"/>
  <c r="A146"/>
  <c r="G12" i="11"/>
  <c r="G12" i="4"/>
  <c r="I12" i="11"/>
  <c r="I12" i="4"/>
  <c r="B17" i="11"/>
  <c r="B17" i="4"/>
  <c r="B27" i="3"/>
  <c r="B36"/>
  <c r="D17" i="11"/>
  <c r="D17" i="4"/>
  <c r="D27" i="3"/>
  <c r="D36"/>
  <c r="K90"/>
  <c r="D15"/>
  <c r="I90"/>
  <c r="C15"/>
  <c r="G90"/>
  <c r="B15"/>
  <c r="A181" i="11"/>
  <c r="A206"/>
  <c r="A176" i="4"/>
  <c r="A87" i="11"/>
  <c r="A56"/>
  <c r="B15"/>
  <c r="B15" i="4"/>
  <c r="B16" i="11"/>
  <c r="B16" i="4"/>
  <c r="F16" i="11"/>
  <c r="F16" i="4"/>
  <c r="A117" i="11"/>
  <c r="A146"/>
  <c r="H12"/>
  <c r="H12" i="4"/>
  <c r="J75" i="3"/>
  <c r="K75"/>
  <c r="I14"/>
  <c r="H75"/>
  <c r="I75"/>
  <c r="H14"/>
  <c r="F75"/>
  <c r="G75"/>
  <c r="C17" i="11"/>
  <c r="C17" i="4"/>
  <c r="C27" i="3"/>
  <c r="C36"/>
  <c r="E17" i="11"/>
  <c r="E17" i="4"/>
  <c r="E27" i="3"/>
  <c r="E36"/>
  <c r="A117" i="4"/>
  <c r="J135" i="11"/>
  <c r="D135"/>
  <c r="J45"/>
  <c r="D45"/>
  <c r="E6"/>
  <c r="B11" i="16"/>
  <c r="D11"/>
  <c r="F11"/>
  <c r="H11"/>
  <c r="J11"/>
  <c r="B5" i="11"/>
  <c r="C196"/>
  <c r="C221"/>
  <c r="D221"/>
  <c r="P75"/>
  <c r="P165"/>
  <c r="J75"/>
  <c r="J165"/>
  <c r="E11" i="10"/>
  <c r="I11"/>
  <c r="D75" i="11"/>
  <c r="J105"/>
  <c r="D165"/>
  <c r="D195"/>
  <c r="P45"/>
  <c r="D105"/>
  <c r="P135"/>
  <c r="D196"/>
  <c r="B7" i="16"/>
  <c r="D7"/>
  <c r="F7"/>
  <c r="H7"/>
  <c r="J7"/>
  <c r="C46" i="11"/>
  <c r="D46"/>
  <c r="I5"/>
  <c r="B27"/>
  <c r="M191" i="4"/>
  <c r="N191"/>
  <c r="H161"/>
  <c r="I161"/>
  <c r="C131"/>
  <c r="D131"/>
  <c r="H131"/>
  <c r="I131"/>
  <c r="H101"/>
  <c r="I101"/>
  <c r="R191"/>
  <c r="S191"/>
  <c r="C221"/>
  <c r="D221"/>
  <c r="E221"/>
  <c r="B26"/>
  <c r="H191"/>
  <c r="I191"/>
  <c r="F6"/>
  <c r="F6" i="11"/>
  <c r="C166"/>
  <c r="D166"/>
  <c r="B9" i="16"/>
  <c r="D9"/>
  <c r="F9"/>
  <c r="O46" i="11"/>
  <c r="P46"/>
  <c r="C161" i="4"/>
  <c r="D161"/>
  <c r="C101"/>
  <c r="D101"/>
  <c r="C191"/>
  <c r="D191"/>
  <c r="C71"/>
  <c r="D71"/>
  <c r="M161"/>
  <c r="N161"/>
  <c r="M101"/>
  <c r="N101"/>
  <c r="C14"/>
  <c r="C14" i="11"/>
  <c r="B14"/>
  <c r="B14" i="4"/>
  <c r="D14" i="11"/>
  <c r="F11" i="10"/>
  <c r="D14" i="4"/>
  <c r="B197"/>
  <c r="F221"/>
  <c r="F196"/>
  <c r="B197" i="11"/>
  <c r="G221"/>
  <c r="F196"/>
  <c r="G196"/>
  <c r="T166"/>
  <c r="E42"/>
  <c r="U164"/>
  <c r="G191" i="4"/>
  <c r="C42"/>
  <c r="H164"/>
  <c r="L76" i="3"/>
  <c r="G14"/>
  <c r="I13" i="11"/>
  <c r="I38"/>
  <c r="I13" i="4"/>
  <c r="I38"/>
  <c r="H46" i="11"/>
  <c r="H37"/>
  <c r="I44"/>
  <c r="L161" i="4"/>
  <c r="F41"/>
  <c r="M134"/>
  <c r="B161"/>
  <c r="B41"/>
  <c r="C134"/>
  <c r="B131"/>
  <c r="B40"/>
  <c r="C104"/>
  <c r="A57" i="11"/>
  <c r="A88"/>
  <c r="A177" i="4"/>
  <c r="L191"/>
  <c r="D42"/>
  <c r="M164"/>
  <c r="B166" i="11"/>
  <c r="B42"/>
  <c r="C164"/>
  <c r="N46"/>
  <c r="I37"/>
  <c r="O44"/>
  <c r="B46"/>
  <c r="G37"/>
  <c r="C44"/>
  <c r="G161" i="4"/>
  <c r="D41"/>
  <c r="H134"/>
  <c r="G131"/>
  <c r="D40"/>
  <c r="H104"/>
  <c r="A88"/>
  <c r="A58"/>
  <c r="A118"/>
  <c r="Q191"/>
  <c r="E42"/>
  <c r="R164"/>
  <c r="H166" i="11"/>
  <c r="C42"/>
  <c r="I164"/>
  <c r="H13"/>
  <c r="H38"/>
  <c r="H13" i="4"/>
  <c r="H38"/>
  <c r="G71"/>
  <c r="H37"/>
  <c r="H44"/>
  <c r="A147" i="11"/>
  <c r="A118"/>
  <c r="N136"/>
  <c r="F41"/>
  <c r="O134"/>
  <c r="B136"/>
  <c r="B41"/>
  <c r="C134"/>
  <c r="B106"/>
  <c r="B40"/>
  <c r="C104"/>
  <c r="A207"/>
  <c r="A182"/>
  <c r="N166"/>
  <c r="D42"/>
  <c r="O164"/>
  <c r="B191" i="4"/>
  <c r="B42"/>
  <c r="C164"/>
  <c r="L71"/>
  <c r="I37"/>
  <c r="M44"/>
  <c r="B71"/>
  <c r="G37"/>
  <c r="C44"/>
  <c r="A147"/>
  <c r="H136" i="11"/>
  <c r="D41"/>
  <c r="I134"/>
  <c r="H106"/>
  <c r="D40"/>
  <c r="I104"/>
  <c r="C76"/>
  <c r="D76"/>
  <c r="C106"/>
  <c r="D106"/>
  <c r="U166"/>
  <c r="V166"/>
  <c r="I106"/>
  <c r="J106"/>
  <c r="O136"/>
  <c r="P136"/>
  <c r="C197"/>
  <c r="D197"/>
  <c r="I136"/>
  <c r="J136"/>
  <c r="O166"/>
  <c r="P166"/>
  <c r="C136"/>
  <c r="D136"/>
  <c r="O76"/>
  <c r="P76"/>
  <c r="I76"/>
  <c r="J76"/>
  <c r="I166"/>
  <c r="J166"/>
  <c r="I46"/>
  <c r="J46"/>
  <c r="C197" i="4"/>
  <c r="D197"/>
  <c r="E197"/>
  <c r="C196"/>
  <c r="D196"/>
  <c r="E196"/>
  <c r="H71"/>
  <c r="M71"/>
  <c r="H9" i="16"/>
  <c r="D39" i="11"/>
  <c r="O74"/>
  <c r="N76"/>
  <c r="B39"/>
  <c r="C74"/>
  <c r="B76"/>
  <c r="G101" i="4"/>
  <c r="C39"/>
  <c r="H74"/>
  <c r="D39"/>
  <c r="M74"/>
  <c r="L101"/>
  <c r="B101"/>
  <c r="B39"/>
  <c r="C74"/>
  <c r="H76" i="11"/>
  <c r="C39"/>
  <c r="I74"/>
  <c r="F197" i="4"/>
  <c r="B198"/>
  <c r="G197" i="11"/>
  <c r="B198"/>
  <c r="F197"/>
  <c r="G16" i="10"/>
  <c r="G12"/>
  <c r="H107" i="11"/>
  <c r="M106"/>
  <c r="L106"/>
  <c r="M131"/>
  <c r="I161"/>
  <c r="J161"/>
  <c r="I131"/>
  <c r="J131"/>
  <c r="H12" i="10"/>
  <c r="H16"/>
  <c r="L136" i="11"/>
  <c r="H137"/>
  <c r="M136"/>
  <c r="M161"/>
  <c r="F71" i="4"/>
  <c r="B47"/>
  <c r="C47"/>
  <c r="D47"/>
  <c r="E58"/>
  <c r="F46"/>
  <c r="P71"/>
  <c r="L47"/>
  <c r="P46"/>
  <c r="F166"/>
  <c r="F191"/>
  <c r="B167"/>
  <c r="C167"/>
  <c r="D167"/>
  <c r="A183" i="11"/>
  <c r="A208"/>
  <c r="C131"/>
  <c r="D131"/>
  <c r="B107"/>
  <c r="G106"/>
  <c r="G131"/>
  <c r="F106"/>
  <c r="C161"/>
  <c r="D161"/>
  <c r="F136"/>
  <c r="G161"/>
  <c r="B137"/>
  <c r="G136"/>
  <c r="R136"/>
  <c r="N137"/>
  <c r="S136"/>
  <c r="S161"/>
  <c r="H106" i="4"/>
  <c r="I106"/>
  <c r="J106"/>
  <c r="H136"/>
  <c r="I136"/>
  <c r="J136"/>
  <c r="G71" i="11"/>
  <c r="F46"/>
  <c r="B47"/>
  <c r="C47"/>
  <c r="D47"/>
  <c r="G46"/>
  <c r="O71"/>
  <c r="P71"/>
  <c r="C191"/>
  <c r="D191"/>
  <c r="M166" i="4"/>
  <c r="N166"/>
  <c r="O166"/>
  <c r="A178"/>
  <c r="A89" i="11"/>
  <c r="A58"/>
  <c r="C106" i="4"/>
  <c r="D106"/>
  <c r="E106"/>
  <c r="F131"/>
  <c r="B107"/>
  <c r="F106"/>
  <c r="C136"/>
  <c r="D136"/>
  <c r="E136"/>
  <c r="F161"/>
  <c r="B137"/>
  <c r="F136"/>
  <c r="M136"/>
  <c r="N136"/>
  <c r="O136"/>
  <c r="P161"/>
  <c r="L137"/>
  <c r="M137"/>
  <c r="N137"/>
  <c r="O147"/>
  <c r="P136"/>
  <c r="M71" i="11"/>
  <c r="L46"/>
  <c r="H47"/>
  <c r="M46"/>
  <c r="H166" i="4"/>
  <c r="I166"/>
  <c r="J166"/>
  <c r="K191"/>
  <c r="G167"/>
  <c r="K166"/>
  <c r="X166" i="11"/>
  <c r="T167"/>
  <c r="Y166"/>
  <c r="Y191"/>
  <c r="A148" i="4"/>
  <c r="C46"/>
  <c r="D46"/>
  <c r="E46"/>
  <c r="C166"/>
  <c r="D166"/>
  <c r="E166"/>
  <c r="I12" i="10"/>
  <c r="R166" i="11"/>
  <c r="S166"/>
  <c r="N167"/>
  <c r="S191"/>
  <c r="A119"/>
  <c r="A148"/>
  <c r="K71" i="4"/>
  <c r="G47"/>
  <c r="K46"/>
  <c r="L166" i="11"/>
  <c r="H167"/>
  <c r="M166"/>
  <c r="M191"/>
  <c r="R166" i="4"/>
  <c r="S166"/>
  <c r="T166"/>
  <c r="U191"/>
  <c r="Q167"/>
  <c r="R167"/>
  <c r="S167"/>
  <c r="U166"/>
  <c r="A119"/>
  <c r="A59"/>
  <c r="A89"/>
  <c r="K131"/>
  <c r="G107"/>
  <c r="H107"/>
  <c r="I107"/>
  <c r="K106"/>
  <c r="K161"/>
  <c r="K136"/>
  <c r="G137"/>
  <c r="H137"/>
  <c r="I137"/>
  <c r="C71" i="11"/>
  <c r="D71"/>
  <c r="E16" i="10"/>
  <c r="E12"/>
  <c r="R46" i="11"/>
  <c r="N47"/>
  <c r="S46"/>
  <c r="S71"/>
  <c r="F166"/>
  <c r="G166"/>
  <c r="B167"/>
  <c r="G191"/>
  <c r="P191" i="4"/>
  <c r="L167"/>
  <c r="M167"/>
  <c r="N167"/>
  <c r="P166"/>
  <c r="G13" i="11"/>
  <c r="G38"/>
  <c r="G13" i="4"/>
  <c r="G38"/>
  <c r="I167" i="11"/>
  <c r="J167"/>
  <c r="I191"/>
  <c r="J191"/>
  <c r="C107"/>
  <c r="D107"/>
  <c r="O191"/>
  <c r="P191"/>
  <c r="I107"/>
  <c r="J107"/>
  <c r="I71"/>
  <c r="J71"/>
  <c r="U167"/>
  <c r="V167"/>
  <c r="U191"/>
  <c r="V191"/>
  <c r="O161"/>
  <c r="P161"/>
  <c r="H47" i="4"/>
  <c r="I47"/>
  <c r="J58"/>
  <c r="H46"/>
  <c r="I46"/>
  <c r="J46"/>
  <c r="I71"/>
  <c r="N71"/>
  <c r="M47"/>
  <c r="N47"/>
  <c r="O58"/>
  <c r="M46"/>
  <c r="N46"/>
  <c r="O46"/>
  <c r="J9" i="16"/>
  <c r="I101" i="11"/>
  <c r="J101"/>
  <c r="H76" i="4"/>
  <c r="I76"/>
  <c r="J76"/>
  <c r="B77" i="11"/>
  <c r="C77"/>
  <c r="D77"/>
  <c r="F76"/>
  <c r="G76"/>
  <c r="G101"/>
  <c r="F12" i="10"/>
  <c r="F16"/>
  <c r="O101" i="11"/>
  <c r="P101"/>
  <c r="M76"/>
  <c r="M101"/>
  <c r="H77"/>
  <c r="L76"/>
  <c r="C76" i="4"/>
  <c r="D76"/>
  <c r="E76"/>
  <c r="B77"/>
  <c r="F101"/>
  <c r="F76"/>
  <c r="P76"/>
  <c r="P101"/>
  <c r="L77"/>
  <c r="M77"/>
  <c r="N77"/>
  <c r="M76"/>
  <c r="N76"/>
  <c r="O76"/>
  <c r="G77"/>
  <c r="K101"/>
  <c r="K76"/>
  <c r="C101" i="11"/>
  <c r="D101"/>
  <c r="S101"/>
  <c r="N77"/>
  <c r="R76"/>
  <c r="S76"/>
  <c r="F198"/>
  <c r="G198"/>
  <c r="B199"/>
  <c r="C198"/>
  <c r="D198"/>
  <c r="F198" i="4"/>
  <c r="B199"/>
  <c r="C198"/>
  <c r="D198"/>
  <c r="E198"/>
  <c r="O167"/>
  <c r="O168"/>
  <c r="O169"/>
  <c r="O170"/>
  <c r="O171"/>
  <c r="O172"/>
  <c r="O173"/>
  <c r="O174"/>
  <c r="O175"/>
  <c r="O176"/>
  <c r="O177"/>
  <c r="J108"/>
  <c r="J107"/>
  <c r="J109"/>
  <c r="J110"/>
  <c r="J111"/>
  <c r="J112"/>
  <c r="J113"/>
  <c r="J114"/>
  <c r="J115"/>
  <c r="J116"/>
  <c r="J117"/>
  <c r="J118"/>
  <c r="J137"/>
  <c r="J138"/>
  <c r="J139"/>
  <c r="J140"/>
  <c r="J141"/>
  <c r="J142"/>
  <c r="J143"/>
  <c r="J144"/>
  <c r="J145"/>
  <c r="J146"/>
  <c r="J147"/>
  <c r="A90"/>
  <c r="J59"/>
  <c r="A60"/>
  <c r="O59"/>
  <c r="E59"/>
  <c r="A120"/>
  <c r="J119"/>
  <c r="T167"/>
  <c r="T168"/>
  <c r="T169"/>
  <c r="T170"/>
  <c r="T171"/>
  <c r="T172"/>
  <c r="T173"/>
  <c r="T174"/>
  <c r="T175"/>
  <c r="T176"/>
  <c r="J48"/>
  <c r="A149" i="11"/>
  <c r="A120"/>
  <c r="H48"/>
  <c r="M47"/>
  <c r="L47"/>
  <c r="O137" i="4"/>
  <c r="O138"/>
  <c r="O139"/>
  <c r="O140"/>
  <c r="O141"/>
  <c r="O142"/>
  <c r="O143"/>
  <c r="O144"/>
  <c r="O145"/>
  <c r="O146"/>
  <c r="A59" i="11"/>
  <c r="A90"/>
  <c r="A179" i="4"/>
  <c r="T178"/>
  <c r="O178"/>
  <c r="E178"/>
  <c r="B48" i="11"/>
  <c r="G47"/>
  <c r="F47"/>
  <c r="N138"/>
  <c r="S137"/>
  <c r="R137"/>
  <c r="B48" i="4"/>
  <c r="F47"/>
  <c r="H138" i="11"/>
  <c r="M137"/>
  <c r="L137"/>
  <c r="I47"/>
  <c r="J47"/>
  <c r="L168" i="4"/>
  <c r="P167"/>
  <c r="B168" i="11"/>
  <c r="G167"/>
  <c r="F167"/>
  <c r="N48"/>
  <c r="S47"/>
  <c r="R47"/>
  <c r="G138" i="4"/>
  <c r="K137"/>
  <c r="G108"/>
  <c r="K107"/>
  <c r="U167"/>
  <c r="Q168"/>
  <c r="H168" i="11"/>
  <c r="M167"/>
  <c r="L167"/>
  <c r="G48" i="4"/>
  <c r="K47"/>
  <c r="N168" i="11"/>
  <c r="S167"/>
  <c r="R167"/>
  <c r="E167" i="4"/>
  <c r="E168"/>
  <c r="E169"/>
  <c r="E170"/>
  <c r="E171"/>
  <c r="E172"/>
  <c r="E173"/>
  <c r="E174"/>
  <c r="E175"/>
  <c r="E176"/>
  <c r="E47"/>
  <c r="E48"/>
  <c r="E49"/>
  <c r="E50"/>
  <c r="E51"/>
  <c r="E52"/>
  <c r="E53"/>
  <c r="E54"/>
  <c r="E55"/>
  <c r="E56"/>
  <c r="E57"/>
  <c r="J148"/>
  <c r="A149"/>
  <c r="O148"/>
  <c r="T168" i="11"/>
  <c r="Y167"/>
  <c r="X167"/>
  <c r="K167" i="4"/>
  <c r="G168"/>
  <c r="L138"/>
  <c r="P137"/>
  <c r="B138"/>
  <c r="F137"/>
  <c r="F107"/>
  <c r="B108"/>
  <c r="B138" i="11"/>
  <c r="G137"/>
  <c r="F137"/>
  <c r="F107"/>
  <c r="B108"/>
  <c r="G107"/>
  <c r="A209"/>
  <c r="A184"/>
  <c r="B168" i="4"/>
  <c r="F167"/>
  <c r="L48"/>
  <c r="P47"/>
  <c r="L107" i="11"/>
  <c r="H108"/>
  <c r="M107"/>
  <c r="H167" i="4"/>
  <c r="I167"/>
  <c r="C137"/>
  <c r="D137"/>
  <c r="C107"/>
  <c r="D107"/>
  <c r="T177"/>
  <c r="E177"/>
  <c r="C167" i="11"/>
  <c r="D167"/>
  <c r="O47"/>
  <c r="P47"/>
  <c r="O137"/>
  <c r="P137"/>
  <c r="C137"/>
  <c r="D137"/>
  <c r="O167"/>
  <c r="P167"/>
  <c r="I137"/>
  <c r="J137"/>
  <c r="J55" i="4"/>
  <c r="J51"/>
  <c r="O48"/>
  <c r="J57"/>
  <c r="J53"/>
  <c r="J49"/>
  <c r="J56"/>
  <c r="J54"/>
  <c r="J52"/>
  <c r="J50"/>
  <c r="J47"/>
  <c r="O55"/>
  <c r="O51"/>
  <c r="O57"/>
  <c r="O53"/>
  <c r="O49"/>
  <c r="O56"/>
  <c r="O54"/>
  <c r="O52"/>
  <c r="O50"/>
  <c r="O47"/>
  <c r="O84"/>
  <c r="O78"/>
  <c r="O79"/>
  <c r="O81"/>
  <c r="O83"/>
  <c r="O85"/>
  <c r="O77"/>
  <c r="O80"/>
  <c r="O82"/>
  <c r="O86"/>
  <c r="O87"/>
  <c r="O88"/>
  <c r="O89"/>
  <c r="K77"/>
  <c r="G78"/>
  <c r="F77"/>
  <c r="B78"/>
  <c r="H78" i="11"/>
  <c r="L77"/>
  <c r="M77"/>
  <c r="N78"/>
  <c r="R77"/>
  <c r="S77"/>
  <c r="L78" i="4"/>
  <c r="P77"/>
  <c r="F77" i="11"/>
  <c r="G77"/>
  <c r="B78"/>
  <c r="C77" i="4"/>
  <c r="D77"/>
  <c r="O77" i="11"/>
  <c r="P77"/>
  <c r="H77" i="4"/>
  <c r="I77"/>
  <c r="J90"/>
  <c r="I77" i="11"/>
  <c r="J77"/>
  <c r="G199"/>
  <c r="B200"/>
  <c r="F199"/>
  <c r="C199"/>
  <c r="D199"/>
  <c r="F199" i="4"/>
  <c r="B200"/>
  <c r="C199"/>
  <c r="D199"/>
  <c r="E199"/>
  <c r="E108"/>
  <c r="E107"/>
  <c r="E109"/>
  <c r="E110"/>
  <c r="E111"/>
  <c r="E112"/>
  <c r="E113"/>
  <c r="E114"/>
  <c r="E115"/>
  <c r="E116"/>
  <c r="E117"/>
  <c r="E118"/>
  <c r="J167"/>
  <c r="J168"/>
  <c r="J169"/>
  <c r="J170"/>
  <c r="J171"/>
  <c r="J172"/>
  <c r="J173"/>
  <c r="J174"/>
  <c r="J175"/>
  <c r="J176"/>
  <c r="J177"/>
  <c r="L49"/>
  <c r="P48"/>
  <c r="M48"/>
  <c r="N48"/>
  <c r="F168"/>
  <c r="B169"/>
  <c r="C168"/>
  <c r="D168"/>
  <c r="B139"/>
  <c r="F138"/>
  <c r="C138"/>
  <c r="D138"/>
  <c r="L139"/>
  <c r="P138"/>
  <c r="M138"/>
  <c r="N138"/>
  <c r="L168" i="11"/>
  <c r="H169"/>
  <c r="M168"/>
  <c r="I168"/>
  <c r="J168"/>
  <c r="K108" i="4"/>
  <c r="G109"/>
  <c r="H108"/>
  <c r="I108"/>
  <c r="G139"/>
  <c r="K138"/>
  <c r="H138"/>
  <c r="I138"/>
  <c r="F168" i="11"/>
  <c r="B169"/>
  <c r="G168"/>
  <c r="C168"/>
  <c r="D168"/>
  <c r="P168" i="4"/>
  <c r="L169"/>
  <c r="M168"/>
  <c r="N168"/>
  <c r="B49"/>
  <c r="F48"/>
  <c r="C48"/>
  <c r="D48"/>
  <c r="O179"/>
  <c r="E179"/>
  <c r="A180"/>
  <c r="T179"/>
  <c r="J179"/>
  <c r="A91" i="11"/>
  <c r="A60"/>
  <c r="A121"/>
  <c r="A150"/>
  <c r="E120" i="4"/>
  <c r="A121"/>
  <c r="J120"/>
  <c r="A91"/>
  <c r="O90"/>
  <c r="E90"/>
  <c r="J178"/>
  <c r="E119"/>
  <c r="E137"/>
  <c r="E138"/>
  <c r="E139"/>
  <c r="E140"/>
  <c r="E141"/>
  <c r="E142"/>
  <c r="E143"/>
  <c r="E144"/>
  <c r="E145"/>
  <c r="E146"/>
  <c r="E147"/>
  <c r="H109" i="11"/>
  <c r="M108"/>
  <c r="L108"/>
  <c r="I108"/>
  <c r="J108"/>
  <c r="A185"/>
  <c r="A210"/>
  <c r="B109"/>
  <c r="G108"/>
  <c r="F108"/>
  <c r="C108"/>
  <c r="D108"/>
  <c r="F138"/>
  <c r="B139"/>
  <c r="G138"/>
  <c r="C138"/>
  <c r="D138"/>
  <c r="B109" i="4"/>
  <c r="F108"/>
  <c r="C108"/>
  <c r="D108"/>
  <c r="G169"/>
  <c r="K168"/>
  <c r="H168"/>
  <c r="I168"/>
  <c r="X168" i="11"/>
  <c r="T169"/>
  <c r="Y168"/>
  <c r="U168"/>
  <c r="V168"/>
  <c r="J149" i="4"/>
  <c r="A150"/>
  <c r="O149"/>
  <c r="E149"/>
  <c r="R168" i="11"/>
  <c r="N169"/>
  <c r="S168"/>
  <c r="O168"/>
  <c r="P168"/>
  <c r="G49" i="4"/>
  <c r="K48"/>
  <c r="H48"/>
  <c r="I48"/>
  <c r="Q169"/>
  <c r="U168"/>
  <c r="R168"/>
  <c r="S168"/>
  <c r="R48" i="11"/>
  <c r="N49"/>
  <c r="S48"/>
  <c r="O48"/>
  <c r="P48"/>
  <c r="L138"/>
  <c r="H139"/>
  <c r="M138"/>
  <c r="I138"/>
  <c r="J138"/>
  <c r="R138"/>
  <c r="N139"/>
  <c r="S138"/>
  <c r="O138"/>
  <c r="P138"/>
  <c r="F48"/>
  <c r="B49"/>
  <c r="G48"/>
  <c r="C48"/>
  <c r="D48"/>
  <c r="L48"/>
  <c r="H49"/>
  <c r="M48"/>
  <c r="I48"/>
  <c r="J48"/>
  <c r="J60" i="4"/>
  <c r="A61"/>
  <c r="O60"/>
  <c r="E60"/>
  <c r="E148"/>
  <c r="B79" i="11"/>
  <c r="F78"/>
  <c r="G78"/>
  <c r="C78"/>
  <c r="D78"/>
  <c r="P78" i="4"/>
  <c r="L79"/>
  <c r="M78"/>
  <c r="N78"/>
  <c r="M78" i="11"/>
  <c r="H79"/>
  <c r="L78"/>
  <c r="I78"/>
  <c r="J78"/>
  <c r="J78" i="4"/>
  <c r="J79"/>
  <c r="J81"/>
  <c r="J83"/>
  <c r="J85"/>
  <c r="J77"/>
  <c r="J80"/>
  <c r="J82"/>
  <c r="J84"/>
  <c r="J86"/>
  <c r="J87"/>
  <c r="J88"/>
  <c r="J89"/>
  <c r="E77"/>
  <c r="E80"/>
  <c r="E82"/>
  <c r="E85"/>
  <c r="E78"/>
  <c r="E79"/>
  <c r="E81"/>
  <c r="E83"/>
  <c r="E84"/>
  <c r="E86"/>
  <c r="E87"/>
  <c r="E88"/>
  <c r="E89"/>
  <c r="N79" i="11"/>
  <c r="R78"/>
  <c r="S78"/>
  <c r="O78"/>
  <c r="P78"/>
  <c r="B79" i="4"/>
  <c r="F78"/>
  <c r="C78"/>
  <c r="D78"/>
  <c r="G79"/>
  <c r="K78"/>
  <c r="H78"/>
  <c r="I78"/>
  <c r="C200"/>
  <c r="D200"/>
  <c r="E200"/>
  <c r="F200"/>
  <c r="B201"/>
  <c r="B201" i="11"/>
  <c r="F200"/>
  <c r="G200"/>
  <c r="C200"/>
  <c r="D200"/>
  <c r="J61" i="4"/>
  <c r="A62"/>
  <c r="O61"/>
  <c r="E61"/>
  <c r="H50" i="11"/>
  <c r="M49"/>
  <c r="L49"/>
  <c r="I49"/>
  <c r="J49"/>
  <c r="B50"/>
  <c r="G49"/>
  <c r="F49"/>
  <c r="C49"/>
  <c r="D49"/>
  <c r="N140"/>
  <c r="S139"/>
  <c r="R139"/>
  <c r="O139"/>
  <c r="P139"/>
  <c r="N50"/>
  <c r="S49"/>
  <c r="R49"/>
  <c r="O49"/>
  <c r="P49"/>
  <c r="U169" i="4"/>
  <c r="Q170"/>
  <c r="R169"/>
  <c r="S169"/>
  <c r="N170" i="11"/>
  <c r="S169"/>
  <c r="R169"/>
  <c r="O169"/>
  <c r="P169"/>
  <c r="J150" i="4"/>
  <c r="A151"/>
  <c r="O150"/>
  <c r="E150"/>
  <c r="T170" i="11"/>
  <c r="Y169"/>
  <c r="X169"/>
  <c r="U169"/>
  <c r="V169"/>
  <c r="G50" i="4"/>
  <c r="K49"/>
  <c r="H49"/>
  <c r="I49"/>
  <c r="K169"/>
  <c r="G170"/>
  <c r="H169"/>
  <c r="I169"/>
  <c r="B140" i="11"/>
  <c r="G139"/>
  <c r="F139"/>
  <c r="C139"/>
  <c r="D139"/>
  <c r="A211"/>
  <c r="A186"/>
  <c r="L109"/>
  <c r="H110"/>
  <c r="M109"/>
  <c r="I109"/>
  <c r="J109"/>
  <c r="A61"/>
  <c r="A92"/>
  <c r="A181" i="4"/>
  <c r="T180"/>
  <c r="J180"/>
  <c r="O180"/>
  <c r="E180"/>
  <c r="B50"/>
  <c r="F49"/>
  <c r="C49"/>
  <c r="D49"/>
  <c r="B140"/>
  <c r="F139"/>
  <c r="C139"/>
  <c r="D139"/>
  <c r="H140" i="11"/>
  <c r="M139"/>
  <c r="L139"/>
  <c r="I139"/>
  <c r="J139"/>
  <c r="F109" i="4"/>
  <c r="B110"/>
  <c r="C109"/>
  <c r="D109"/>
  <c r="F109" i="11"/>
  <c r="B110"/>
  <c r="G109"/>
  <c r="C109"/>
  <c r="D109"/>
  <c r="A92" i="4"/>
  <c r="O91"/>
  <c r="E91"/>
  <c r="J91"/>
  <c r="A122"/>
  <c r="J121"/>
  <c r="E121"/>
  <c r="A151" i="11"/>
  <c r="A122"/>
  <c r="L170" i="4"/>
  <c r="P169"/>
  <c r="M169"/>
  <c r="N169"/>
  <c r="B170" i="11"/>
  <c r="G169"/>
  <c r="F169"/>
  <c r="C169"/>
  <c r="D169"/>
  <c r="G140" i="4"/>
  <c r="K139"/>
  <c r="H139"/>
  <c r="I139"/>
  <c r="G110"/>
  <c r="K109"/>
  <c r="H109"/>
  <c r="I109"/>
  <c r="H170" i="11"/>
  <c r="M169"/>
  <c r="L169"/>
  <c r="I169"/>
  <c r="J169"/>
  <c r="L140" i="4"/>
  <c r="P139"/>
  <c r="M139"/>
  <c r="N139"/>
  <c r="B170"/>
  <c r="F169"/>
  <c r="C169"/>
  <c r="D169"/>
  <c r="L50"/>
  <c r="P49"/>
  <c r="M49"/>
  <c r="N49"/>
  <c r="G80"/>
  <c r="K79"/>
  <c r="H79"/>
  <c r="I79"/>
  <c r="H80" i="11"/>
  <c r="L79"/>
  <c r="M79"/>
  <c r="I79"/>
  <c r="J79"/>
  <c r="B80"/>
  <c r="F79"/>
  <c r="G79"/>
  <c r="C79"/>
  <c r="D79"/>
  <c r="F79" i="4"/>
  <c r="B80"/>
  <c r="C79"/>
  <c r="D79"/>
  <c r="R79" i="11"/>
  <c r="S79"/>
  <c r="N80"/>
  <c r="O79"/>
  <c r="P79"/>
  <c r="P79" i="4"/>
  <c r="L80"/>
  <c r="M79"/>
  <c r="N79"/>
  <c r="B202"/>
  <c r="C201"/>
  <c r="D201"/>
  <c r="E201"/>
  <c r="F201"/>
  <c r="B202" i="11"/>
  <c r="F201"/>
  <c r="G201"/>
  <c r="C201"/>
  <c r="D201"/>
  <c r="L51" i="4"/>
  <c r="P50"/>
  <c r="M50"/>
  <c r="N50"/>
  <c r="K110"/>
  <c r="G111"/>
  <c r="H110"/>
  <c r="I110"/>
  <c r="P170"/>
  <c r="L171"/>
  <c r="M170"/>
  <c r="N170"/>
  <c r="E122"/>
  <c r="A123"/>
  <c r="J122"/>
  <c r="A93"/>
  <c r="O92"/>
  <c r="E92"/>
  <c r="J92"/>
  <c r="B111" i="11"/>
  <c r="G110"/>
  <c r="F110"/>
  <c r="C110"/>
  <c r="D110"/>
  <c r="L140"/>
  <c r="H141"/>
  <c r="M140"/>
  <c r="I140"/>
  <c r="J140"/>
  <c r="B141" i="4"/>
  <c r="F140"/>
  <c r="C140"/>
  <c r="D140"/>
  <c r="B51"/>
  <c r="F50"/>
  <c r="C50"/>
  <c r="D50"/>
  <c r="H111" i="11"/>
  <c r="M110"/>
  <c r="L110"/>
  <c r="I110"/>
  <c r="J110"/>
  <c r="A187"/>
  <c r="A212"/>
  <c r="J151" i="4"/>
  <c r="A152"/>
  <c r="O151"/>
  <c r="E151"/>
  <c r="R50" i="11"/>
  <c r="N51"/>
  <c r="S50"/>
  <c r="O50"/>
  <c r="P50"/>
  <c r="R140"/>
  <c r="N141"/>
  <c r="S140"/>
  <c r="O140"/>
  <c r="P140"/>
  <c r="F50"/>
  <c r="B51"/>
  <c r="G50"/>
  <c r="C50"/>
  <c r="D50"/>
  <c r="L50"/>
  <c r="H51"/>
  <c r="M50"/>
  <c r="I50"/>
  <c r="J50"/>
  <c r="F170" i="4"/>
  <c r="B171"/>
  <c r="C170"/>
  <c r="D170"/>
  <c r="L141"/>
  <c r="P140"/>
  <c r="M140"/>
  <c r="N140"/>
  <c r="L170" i="11"/>
  <c r="H171"/>
  <c r="M170"/>
  <c r="I170"/>
  <c r="J170"/>
  <c r="G141" i="4"/>
  <c r="K140"/>
  <c r="H140"/>
  <c r="I140"/>
  <c r="F170" i="11"/>
  <c r="B171"/>
  <c r="G170"/>
  <c r="C170"/>
  <c r="D170"/>
  <c r="A123"/>
  <c r="A152"/>
  <c r="B111" i="4"/>
  <c r="F110"/>
  <c r="C110"/>
  <c r="D110"/>
  <c r="O181"/>
  <c r="E181"/>
  <c r="A182"/>
  <c r="T181"/>
  <c r="J181"/>
  <c r="A93" i="11"/>
  <c r="A62"/>
  <c r="F140"/>
  <c r="B141"/>
  <c r="G140"/>
  <c r="C140"/>
  <c r="D140"/>
  <c r="G171" i="4"/>
  <c r="K170"/>
  <c r="H170"/>
  <c r="I170"/>
  <c r="G51"/>
  <c r="K50"/>
  <c r="H50"/>
  <c r="I50"/>
  <c r="X170" i="11"/>
  <c r="T171"/>
  <c r="Y170"/>
  <c r="U170"/>
  <c r="V170"/>
  <c r="R170"/>
  <c r="N171"/>
  <c r="S170"/>
  <c r="O170"/>
  <c r="P170"/>
  <c r="Q171" i="4"/>
  <c r="U170"/>
  <c r="R170"/>
  <c r="S170"/>
  <c r="J62"/>
  <c r="A63"/>
  <c r="O62"/>
  <c r="E62"/>
  <c r="O80" i="11"/>
  <c r="P80"/>
  <c r="S80"/>
  <c r="N81"/>
  <c r="R80"/>
  <c r="C80" i="4"/>
  <c r="D80"/>
  <c r="F80"/>
  <c r="B81"/>
  <c r="K80"/>
  <c r="G81"/>
  <c r="H80"/>
  <c r="I80"/>
  <c r="M80"/>
  <c r="N80"/>
  <c r="P80"/>
  <c r="L81"/>
  <c r="G80" i="11"/>
  <c r="B81"/>
  <c r="F80"/>
  <c r="C80"/>
  <c r="D80"/>
  <c r="I80"/>
  <c r="J80"/>
  <c r="M80"/>
  <c r="H81"/>
  <c r="L80"/>
  <c r="F202" i="4"/>
  <c r="B203"/>
  <c r="C202"/>
  <c r="D202"/>
  <c r="E202"/>
  <c r="B203" i="11"/>
  <c r="C202"/>
  <c r="D202"/>
  <c r="F202"/>
  <c r="G202"/>
  <c r="N172"/>
  <c r="S171"/>
  <c r="R171"/>
  <c r="O171"/>
  <c r="P171"/>
  <c r="J63" i="4"/>
  <c r="A64"/>
  <c r="O63"/>
  <c r="E63"/>
  <c r="U171"/>
  <c r="Q172"/>
  <c r="R171"/>
  <c r="S171"/>
  <c r="K171"/>
  <c r="G172"/>
  <c r="H171"/>
  <c r="I171"/>
  <c r="A124" i="11"/>
  <c r="B172"/>
  <c r="G171"/>
  <c r="F171"/>
  <c r="C171"/>
  <c r="D171"/>
  <c r="G142" i="4"/>
  <c r="K141"/>
  <c r="H141"/>
  <c r="I141"/>
  <c r="H52" i="11"/>
  <c r="M51"/>
  <c r="L51"/>
  <c r="I51"/>
  <c r="J51"/>
  <c r="B52"/>
  <c r="G51"/>
  <c r="F51"/>
  <c r="C51"/>
  <c r="D51"/>
  <c r="N142"/>
  <c r="S141"/>
  <c r="R141"/>
  <c r="O141"/>
  <c r="P141"/>
  <c r="N52"/>
  <c r="S51"/>
  <c r="R51"/>
  <c r="O51"/>
  <c r="P51"/>
  <c r="J152" i="4"/>
  <c r="A153"/>
  <c r="O152"/>
  <c r="E152"/>
  <c r="A213" i="11"/>
  <c r="A188"/>
  <c r="L111"/>
  <c r="H112"/>
  <c r="M111"/>
  <c r="I111"/>
  <c r="J111"/>
  <c r="B142" i="4"/>
  <c r="F141"/>
  <c r="C141"/>
  <c r="D141"/>
  <c r="F111" i="11"/>
  <c r="B112"/>
  <c r="G111"/>
  <c r="C111"/>
  <c r="D111"/>
  <c r="A94" i="4"/>
  <c r="O93"/>
  <c r="E93"/>
  <c r="J93"/>
  <c r="A124"/>
  <c r="J123"/>
  <c r="E123"/>
  <c r="L172"/>
  <c r="P171"/>
  <c r="M171"/>
  <c r="N171"/>
  <c r="G112"/>
  <c r="K111"/>
  <c r="H111"/>
  <c r="I111"/>
  <c r="T172" i="11"/>
  <c r="Y171"/>
  <c r="X171"/>
  <c r="U171"/>
  <c r="V171"/>
  <c r="G52" i="4"/>
  <c r="K51"/>
  <c r="H51"/>
  <c r="I51"/>
  <c r="B142" i="11"/>
  <c r="G141"/>
  <c r="F141"/>
  <c r="C141"/>
  <c r="D141"/>
  <c r="A63"/>
  <c r="A94"/>
  <c r="A183" i="4"/>
  <c r="T182"/>
  <c r="J182"/>
  <c r="O182"/>
  <c r="E182"/>
  <c r="F111"/>
  <c r="B112"/>
  <c r="C111"/>
  <c r="D111"/>
  <c r="A153" i="11"/>
  <c r="H172"/>
  <c r="M171"/>
  <c r="L171"/>
  <c r="I171"/>
  <c r="J171"/>
  <c r="L142" i="4"/>
  <c r="P141"/>
  <c r="M141"/>
  <c r="N141"/>
  <c r="B172"/>
  <c r="F171"/>
  <c r="C171"/>
  <c r="D171"/>
  <c r="B52"/>
  <c r="F51"/>
  <c r="C51"/>
  <c r="D51"/>
  <c r="H142" i="11"/>
  <c r="M141"/>
  <c r="L141"/>
  <c r="I141"/>
  <c r="J141"/>
  <c r="L52" i="4"/>
  <c r="P51"/>
  <c r="M51"/>
  <c r="N51"/>
  <c r="B82" i="11"/>
  <c r="F81"/>
  <c r="G81"/>
  <c r="C81"/>
  <c r="D81"/>
  <c r="L82" i="4"/>
  <c r="P81"/>
  <c r="M81"/>
  <c r="N81"/>
  <c r="G82"/>
  <c r="K81"/>
  <c r="H81"/>
  <c r="I81"/>
  <c r="F81"/>
  <c r="B82"/>
  <c r="C81"/>
  <c r="D81"/>
  <c r="R81" i="11"/>
  <c r="S81"/>
  <c r="N82"/>
  <c r="O81"/>
  <c r="P81"/>
  <c r="L81"/>
  <c r="M81"/>
  <c r="H82"/>
  <c r="I81"/>
  <c r="J81"/>
  <c r="G203"/>
  <c r="C203"/>
  <c r="D203"/>
  <c r="B204"/>
  <c r="F203"/>
  <c r="B204" i="4"/>
  <c r="C203"/>
  <c r="D203"/>
  <c r="E203"/>
  <c r="F203"/>
  <c r="F172"/>
  <c r="B173"/>
  <c r="C172"/>
  <c r="D172"/>
  <c r="B113"/>
  <c r="F112"/>
  <c r="C112"/>
  <c r="D112"/>
  <c r="O183"/>
  <c r="E183"/>
  <c r="A184"/>
  <c r="T183"/>
  <c r="J183"/>
  <c r="A95" i="11"/>
  <c r="A64"/>
  <c r="F142"/>
  <c r="B143"/>
  <c r="G142"/>
  <c r="C142"/>
  <c r="D142"/>
  <c r="K112" i="4"/>
  <c r="G113"/>
  <c r="H112"/>
  <c r="I112"/>
  <c r="B113" i="11"/>
  <c r="G112"/>
  <c r="F112"/>
  <c r="C112"/>
  <c r="D112"/>
  <c r="B143" i="4"/>
  <c r="F142"/>
  <c r="C142"/>
  <c r="D142"/>
  <c r="J153"/>
  <c r="A154"/>
  <c r="O153"/>
  <c r="E153"/>
  <c r="R142" i="11"/>
  <c r="N143"/>
  <c r="S142"/>
  <c r="O142"/>
  <c r="P142"/>
  <c r="G143" i="4"/>
  <c r="K142"/>
  <c r="H142"/>
  <c r="I142"/>
  <c r="F172" i="11"/>
  <c r="B173"/>
  <c r="G172"/>
  <c r="C172"/>
  <c r="D172"/>
  <c r="G173" i="4"/>
  <c r="K172"/>
  <c r="H172"/>
  <c r="I172"/>
  <c r="R172" i="11"/>
  <c r="N173"/>
  <c r="S172"/>
  <c r="O172"/>
  <c r="P172"/>
  <c r="L53" i="4"/>
  <c r="P52"/>
  <c r="M52"/>
  <c r="N52"/>
  <c r="L142" i="11"/>
  <c r="H143"/>
  <c r="M142"/>
  <c r="I142"/>
  <c r="J142"/>
  <c r="B53" i="4"/>
  <c r="F52"/>
  <c r="C52"/>
  <c r="D52"/>
  <c r="L143"/>
  <c r="P142"/>
  <c r="M142"/>
  <c r="N142"/>
  <c r="L172" i="11"/>
  <c r="H173"/>
  <c r="M172"/>
  <c r="I172"/>
  <c r="J172"/>
  <c r="A154"/>
  <c r="G53" i="4"/>
  <c r="K52"/>
  <c r="H52"/>
  <c r="I52"/>
  <c r="X172" i="11"/>
  <c r="T173"/>
  <c r="Y172"/>
  <c r="U172"/>
  <c r="V172"/>
  <c r="P172" i="4"/>
  <c r="L173"/>
  <c r="M172"/>
  <c r="N172"/>
  <c r="E124"/>
  <c r="A125"/>
  <c r="J124"/>
  <c r="A95"/>
  <c r="O94"/>
  <c r="E94"/>
  <c r="J94"/>
  <c r="H113" i="11"/>
  <c r="M112"/>
  <c r="L112"/>
  <c r="I112"/>
  <c r="J112"/>
  <c r="A189"/>
  <c r="A214"/>
  <c r="R52"/>
  <c r="N53"/>
  <c r="S52"/>
  <c r="O52"/>
  <c r="P52"/>
  <c r="F52"/>
  <c r="B53"/>
  <c r="G52"/>
  <c r="C52"/>
  <c r="D52"/>
  <c r="L52"/>
  <c r="H53"/>
  <c r="M52"/>
  <c r="I52"/>
  <c r="J52"/>
  <c r="A125"/>
  <c r="Q173" i="4"/>
  <c r="U172"/>
  <c r="R172"/>
  <c r="S172"/>
  <c r="J64"/>
  <c r="A65"/>
  <c r="O64"/>
  <c r="E64"/>
  <c r="M82" i="11"/>
  <c r="H83"/>
  <c r="L82"/>
  <c r="I82"/>
  <c r="J82"/>
  <c r="L83" i="4"/>
  <c r="P82"/>
  <c r="M82"/>
  <c r="N82"/>
  <c r="B83" i="11"/>
  <c r="F82"/>
  <c r="G82"/>
  <c r="C82"/>
  <c r="D82"/>
  <c r="N83"/>
  <c r="R82"/>
  <c r="S82"/>
  <c r="O82"/>
  <c r="P82"/>
  <c r="B83" i="4"/>
  <c r="F82"/>
  <c r="C82"/>
  <c r="D82"/>
  <c r="K82"/>
  <c r="G83"/>
  <c r="H82"/>
  <c r="I82"/>
  <c r="F204"/>
  <c r="B205"/>
  <c r="C204"/>
  <c r="D204"/>
  <c r="E204"/>
  <c r="F204" i="11"/>
  <c r="G204"/>
  <c r="B205"/>
  <c r="C204"/>
  <c r="D204"/>
  <c r="J65" i="4"/>
  <c r="A66"/>
  <c r="O65"/>
  <c r="E65"/>
  <c r="U173"/>
  <c r="Q174"/>
  <c r="R173"/>
  <c r="S173"/>
  <c r="H54" i="11"/>
  <c r="M53"/>
  <c r="L53"/>
  <c r="I53"/>
  <c r="J53"/>
  <c r="B54"/>
  <c r="G53"/>
  <c r="F53"/>
  <c r="C53"/>
  <c r="D53"/>
  <c r="N54"/>
  <c r="S53"/>
  <c r="R53"/>
  <c r="O53"/>
  <c r="P53"/>
  <c r="A215"/>
  <c r="A190"/>
  <c r="L113"/>
  <c r="H114"/>
  <c r="M113"/>
  <c r="I113"/>
  <c r="J113"/>
  <c r="A96" i="4"/>
  <c r="O95"/>
  <c r="E95"/>
  <c r="J95"/>
  <c r="A126"/>
  <c r="J125"/>
  <c r="E125"/>
  <c r="T174" i="11"/>
  <c r="Y173"/>
  <c r="X173"/>
  <c r="U173"/>
  <c r="V173"/>
  <c r="G54" i="4"/>
  <c r="K53"/>
  <c r="H53"/>
  <c r="I53"/>
  <c r="A155" i="11"/>
  <c r="B54" i="4"/>
  <c r="F53"/>
  <c r="C53"/>
  <c r="D53"/>
  <c r="N174" i="11"/>
  <c r="S173"/>
  <c r="R173"/>
  <c r="O173"/>
  <c r="P173"/>
  <c r="K173" i="4"/>
  <c r="G174"/>
  <c r="H173"/>
  <c r="I173"/>
  <c r="B174" i="11"/>
  <c r="G173"/>
  <c r="F173"/>
  <c r="C173"/>
  <c r="D173"/>
  <c r="G144" i="4"/>
  <c r="K143"/>
  <c r="H143"/>
  <c r="I143"/>
  <c r="G114"/>
  <c r="K113"/>
  <c r="H113"/>
  <c r="I113"/>
  <c r="B144" i="11"/>
  <c r="G143"/>
  <c r="F143"/>
  <c r="C143"/>
  <c r="D143"/>
  <c r="A65"/>
  <c r="A185" i="4"/>
  <c r="T184"/>
  <c r="J184"/>
  <c r="O184"/>
  <c r="E184"/>
  <c r="A126" i="11"/>
  <c r="L174" i="4"/>
  <c r="P173"/>
  <c r="M173"/>
  <c r="N173"/>
  <c r="H174" i="11"/>
  <c r="M173"/>
  <c r="L173"/>
  <c r="I173"/>
  <c r="J173"/>
  <c r="L144" i="4"/>
  <c r="P143"/>
  <c r="M143"/>
  <c r="N143"/>
  <c r="H144" i="11"/>
  <c r="M143"/>
  <c r="L143"/>
  <c r="I143"/>
  <c r="J143"/>
  <c r="L54" i="4"/>
  <c r="P53"/>
  <c r="M53"/>
  <c r="N53"/>
  <c r="N144" i="11"/>
  <c r="S143"/>
  <c r="R143"/>
  <c r="O143"/>
  <c r="P143"/>
  <c r="J154" i="4"/>
  <c r="A155"/>
  <c r="O154"/>
  <c r="E154"/>
  <c r="B144"/>
  <c r="F143"/>
  <c r="C143"/>
  <c r="D143"/>
  <c r="F113" i="11"/>
  <c r="B114"/>
  <c r="G113"/>
  <c r="C113"/>
  <c r="D113"/>
  <c r="A96"/>
  <c r="F113" i="4"/>
  <c r="B114"/>
  <c r="C113"/>
  <c r="D113"/>
  <c r="B174"/>
  <c r="F173"/>
  <c r="C173"/>
  <c r="D173"/>
  <c r="B84" i="11"/>
  <c r="C83"/>
  <c r="D83"/>
  <c r="F83"/>
  <c r="G83"/>
  <c r="L83"/>
  <c r="M83"/>
  <c r="H84"/>
  <c r="I83"/>
  <c r="J83"/>
  <c r="G84" i="4"/>
  <c r="H83"/>
  <c r="I83"/>
  <c r="K83"/>
  <c r="F83"/>
  <c r="B84"/>
  <c r="C83"/>
  <c r="D83"/>
  <c r="N84" i="11"/>
  <c r="O83"/>
  <c r="P83"/>
  <c r="R83"/>
  <c r="S83"/>
  <c r="L84" i="4"/>
  <c r="M83"/>
  <c r="N83"/>
  <c r="P83"/>
  <c r="B206" i="11"/>
  <c r="F205"/>
  <c r="G205"/>
  <c r="C205"/>
  <c r="D205"/>
  <c r="F205" i="4"/>
  <c r="B206"/>
  <c r="C205"/>
  <c r="D205"/>
  <c r="E205"/>
  <c r="F174"/>
  <c r="B175"/>
  <c r="C174"/>
  <c r="D174"/>
  <c r="B115"/>
  <c r="F114"/>
  <c r="C114"/>
  <c r="D114"/>
  <c r="B115" i="11"/>
  <c r="G114"/>
  <c r="F114"/>
  <c r="C114"/>
  <c r="D114"/>
  <c r="B145" i="4"/>
  <c r="F144"/>
  <c r="C144"/>
  <c r="D144"/>
  <c r="R144" i="11"/>
  <c r="N145"/>
  <c r="S144"/>
  <c r="O144"/>
  <c r="P144"/>
  <c r="L55" i="4"/>
  <c r="P54"/>
  <c r="M54"/>
  <c r="N54"/>
  <c r="L144" i="11"/>
  <c r="H145"/>
  <c r="M144"/>
  <c r="I144"/>
  <c r="J144"/>
  <c r="P174" i="4"/>
  <c r="L175"/>
  <c r="M174"/>
  <c r="N174"/>
  <c r="G175"/>
  <c r="K174"/>
  <c r="H174"/>
  <c r="I174"/>
  <c r="B55"/>
  <c r="F54"/>
  <c r="C54"/>
  <c r="D54"/>
  <c r="E126"/>
  <c r="A127"/>
  <c r="J126"/>
  <c r="A97"/>
  <c r="O96"/>
  <c r="E96"/>
  <c r="J96"/>
  <c r="A97" i="11"/>
  <c r="J155" i="4"/>
  <c r="A156"/>
  <c r="O155"/>
  <c r="E155"/>
  <c r="L145"/>
  <c r="P144"/>
  <c r="M144"/>
  <c r="N144"/>
  <c r="L174" i="11"/>
  <c r="H175"/>
  <c r="M174"/>
  <c r="I174"/>
  <c r="J174"/>
  <c r="A127"/>
  <c r="O185" i="4"/>
  <c r="E185"/>
  <c r="A186"/>
  <c r="T185"/>
  <c r="J185"/>
  <c r="A66" i="11"/>
  <c r="F144"/>
  <c r="B145"/>
  <c r="G144"/>
  <c r="C144"/>
  <c r="D144"/>
  <c r="K114" i="4"/>
  <c r="G115"/>
  <c r="H114"/>
  <c r="I114"/>
  <c r="G145"/>
  <c r="K144"/>
  <c r="H144"/>
  <c r="I144"/>
  <c r="F174" i="11"/>
  <c r="B175"/>
  <c r="G174"/>
  <c r="C174"/>
  <c r="D174"/>
  <c r="R174"/>
  <c r="N175"/>
  <c r="S174"/>
  <c r="O174"/>
  <c r="P174"/>
  <c r="A156"/>
  <c r="G55" i="4"/>
  <c r="K54"/>
  <c r="H54"/>
  <c r="I54"/>
  <c r="X174" i="11"/>
  <c r="T175"/>
  <c r="Y174"/>
  <c r="U174"/>
  <c r="V174"/>
  <c r="H115"/>
  <c r="M114"/>
  <c r="L114"/>
  <c r="I114"/>
  <c r="J114"/>
  <c r="A191"/>
  <c r="A216"/>
  <c r="R54"/>
  <c r="N55"/>
  <c r="S54"/>
  <c r="O54"/>
  <c r="P54"/>
  <c r="F54"/>
  <c r="B55"/>
  <c r="G54"/>
  <c r="C54"/>
  <c r="D54"/>
  <c r="L54"/>
  <c r="H55"/>
  <c r="M54"/>
  <c r="I54"/>
  <c r="J54"/>
  <c r="Q175" i="4"/>
  <c r="U174"/>
  <c r="R174"/>
  <c r="S174"/>
  <c r="J66"/>
  <c r="A67"/>
  <c r="O66"/>
  <c r="E66"/>
  <c r="P84"/>
  <c r="L85"/>
  <c r="M84"/>
  <c r="N84"/>
  <c r="S84" i="11"/>
  <c r="O84"/>
  <c r="P84"/>
  <c r="N85"/>
  <c r="R84"/>
  <c r="F84" i="4"/>
  <c r="B85"/>
  <c r="C84"/>
  <c r="D84"/>
  <c r="K84"/>
  <c r="G85"/>
  <c r="H84"/>
  <c r="I84"/>
  <c r="M84" i="11"/>
  <c r="I84"/>
  <c r="J84"/>
  <c r="H85"/>
  <c r="L84"/>
  <c r="G84"/>
  <c r="C84"/>
  <c r="D84"/>
  <c r="B85"/>
  <c r="F84"/>
  <c r="B207"/>
  <c r="C206"/>
  <c r="D206"/>
  <c r="F206"/>
  <c r="G206"/>
  <c r="B207" i="4"/>
  <c r="C206"/>
  <c r="D206"/>
  <c r="E206"/>
  <c r="F206"/>
  <c r="H56" i="11"/>
  <c r="M55"/>
  <c r="L55"/>
  <c r="I55"/>
  <c r="J55"/>
  <c r="B56"/>
  <c r="G55"/>
  <c r="F55"/>
  <c r="C55"/>
  <c r="D55"/>
  <c r="N56"/>
  <c r="S55"/>
  <c r="R55"/>
  <c r="O55"/>
  <c r="P55"/>
  <c r="A217"/>
  <c r="L115"/>
  <c r="H116"/>
  <c r="M115"/>
  <c r="I115"/>
  <c r="J115"/>
  <c r="N176"/>
  <c r="S175"/>
  <c r="R175"/>
  <c r="O175"/>
  <c r="P175"/>
  <c r="B176"/>
  <c r="G175"/>
  <c r="F175"/>
  <c r="C175"/>
  <c r="D175"/>
  <c r="G146" i="4"/>
  <c r="K145"/>
  <c r="H145"/>
  <c r="I145"/>
  <c r="G116"/>
  <c r="K115"/>
  <c r="H115"/>
  <c r="I115"/>
  <c r="B146" i="11"/>
  <c r="G145"/>
  <c r="F145"/>
  <c r="C145"/>
  <c r="D145"/>
  <c r="A67"/>
  <c r="A187" i="4"/>
  <c r="T186"/>
  <c r="J186"/>
  <c r="O186"/>
  <c r="E186"/>
  <c r="A98"/>
  <c r="O97"/>
  <c r="E97"/>
  <c r="J97"/>
  <c r="A128"/>
  <c r="J127"/>
  <c r="E127"/>
  <c r="B56"/>
  <c r="F55"/>
  <c r="C55"/>
  <c r="D55"/>
  <c r="N146" i="11"/>
  <c r="S145"/>
  <c r="R145"/>
  <c r="O145"/>
  <c r="P145"/>
  <c r="B146" i="4"/>
  <c r="F145"/>
  <c r="C145"/>
  <c r="D145"/>
  <c r="F115" i="11"/>
  <c r="B116"/>
  <c r="G115"/>
  <c r="C115"/>
  <c r="D115"/>
  <c r="J67" i="4"/>
  <c r="A68"/>
  <c r="O67"/>
  <c r="E67"/>
  <c r="U175"/>
  <c r="Q176"/>
  <c r="R175"/>
  <c r="S175"/>
  <c r="T176" i="11"/>
  <c r="Y175"/>
  <c r="X175"/>
  <c r="U175"/>
  <c r="V175"/>
  <c r="G56" i="4"/>
  <c r="K55"/>
  <c r="H55"/>
  <c r="I55"/>
  <c r="A157" i="11"/>
  <c r="A128"/>
  <c r="H176"/>
  <c r="M175"/>
  <c r="L175"/>
  <c r="I175"/>
  <c r="J175"/>
  <c r="L146" i="4"/>
  <c r="P145"/>
  <c r="M145"/>
  <c r="N145"/>
  <c r="J156"/>
  <c r="A157"/>
  <c r="O156"/>
  <c r="E156"/>
  <c r="A98" i="11"/>
  <c r="K175" i="4"/>
  <c r="G176"/>
  <c r="H175"/>
  <c r="I175"/>
  <c r="L176"/>
  <c r="P175"/>
  <c r="M175"/>
  <c r="N175"/>
  <c r="H146" i="11"/>
  <c r="M145"/>
  <c r="L145"/>
  <c r="I145"/>
  <c r="J145"/>
  <c r="L56" i="4"/>
  <c r="P55"/>
  <c r="M55"/>
  <c r="N55"/>
  <c r="F115"/>
  <c r="B116"/>
  <c r="C115"/>
  <c r="D115"/>
  <c r="B176"/>
  <c r="F175"/>
  <c r="C175"/>
  <c r="D175"/>
  <c r="B86" i="11"/>
  <c r="C85"/>
  <c r="D85"/>
  <c r="F85"/>
  <c r="G85"/>
  <c r="L85"/>
  <c r="M85"/>
  <c r="H86"/>
  <c r="I85"/>
  <c r="J85"/>
  <c r="G86" i="4"/>
  <c r="H85"/>
  <c r="I85"/>
  <c r="K85"/>
  <c r="R85" i="11"/>
  <c r="S85"/>
  <c r="N86"/>
  <c r="O85"/>
  <c r="P85"/>
  <c r="L86" i="4"/>
  <c r="M85"/>
  <c r="N85"/>
  <c r="P85"/>
  <c r="B86"/>
  <c r="C85"/>
  <c r="D85"/>
  <c r="F85"/>
  <c r="F207"/>
  <c r="B208"/>
  <c r="C207"/>
  <c r="D207"/>
  <c r="E207"/>
  <c r="B208" i="11"/>
  <c r="F207"/>
  <c r="G207"/>
  <c r="C207"/>
  <c r="D207"/>
  <c r="B117" i="4"/>
  <c r="F116"/>
  <c r="C116"/>
  <c r="D116"/>
  <c r="P176"/>
  <c r="L177"/>
  <c r="M176"/>
  <c r="N176"/>
  <c r="A99" i="11"/>
  <c r="A129"/>
  <c r="Q177" i="4"/>
  <c r="U176"/>
  <c r="R176"/>
  <c r="S176"/>
  <c r="J68"/>
  <c r="A69"/>
  <c r="O68"/>
  <c r="E68"/>
  <c r="E128"/>
  <c r="A129"/>
  <c r="J128"/>
  <c r="A99"/>
  <c r="O98"/>
  <c r="E98"/>
  <c r="J98"/>
  <c r="K116"/>
  <c r="G117"/>
  <c r="H116"/>
  <c r="I116"/>
  <c r="R176" i="11"/>
  <c r="N177"/>
  <c r="S176"/>
  <c r="O176"/>
  <c r="P176"/>
  <c r="H117"/>
  <c r="M116"/>
  <c r="L116"/>
  <c r="I116"/>
  <c r="J116"/>
  <c r="L56"/>
  <c r="H57"/>
  <c r="M56"/>
  <c r="I56"/>
  <c r="J56"/>
  <c r="F176" i="4"/>
  <c r="B177"/>
  <c r="C176"/>
  <c r="D176"/>
  <c r="L57"/>
  <c r="P56"/>
  <c r="M56"/>
  <c r="N56"/>
  <c r="L146" i="11"/>
  <c r="H147"/>
  <c r="M146"/>
  <c r="I146"/>
  <c r="J146"/>
  <c r="G177" i="4"/>
  <c r="K176"/>
  <c r="H176"/>
  <c r="I176"/>
  <c r="J157"/>
  <c r="A158"/>
  <c r="O157"/>
  <c r="E157"/>
  <c r="L147"/>
  <c r="P146"/>
  <c r="M146"/>
  <c r="N146"/>
  <c r="L176" i="11"/>
  <c r="H177"/>
  <c r="M176"/>
  <c r="I176"/>
  <c r="J176"/>
  <c r="A158"/>
  <c r="G57" i="4"/>
  <c r="K56"/>
  <c r="H56"/>
  <c r="I56"/>
  <c r="X176" i="11"/>
  <c r="T177"/>
  <c r="Y176"/>
  <c r="U176"/>
  <c r="V176"/>
  <c r="B117"/>
  <c r="G116"/>
  <c r="F116"/>
  <c r="C116"/>
  <c r="D116"/>
  <c r="B147" i="4"/>
  <c r="F146"/>
  <c r="C146"/>
  <c r="D146"/>
  <c r="R146" i="11"/>
  <c r="N147"/>
  <c r="S146"/>
  <c r="O146"/>
  <c r="P146"/>
  <c r="B57" i="4"/>
  <c r="F56"/>
  <c r="C56"/>
  <c r="D56"/>
  <c r="O187"/>
  <c r="E187"/>
  <c r="A188"/>
  <c r="T187"/>
  <c r="J187"/>
  <c r="A68" i="11"/>
  <c r="F146"/>
  <c r="B147"/>
  <c r="G146"/>
  <c r="C146"/>
  <c r="D146"/>
  <c r="G147" i="4"/>
  <c r="K146"/>
  <c r="H146"/>
  <c r="I146"/>
  <c r="F176" i="11"/>
  <c r="B177"/>
  <c r="G176"/>
  <c r="C176"/>
  <c r="D176"/>
  <c r="A218"/>
  <c r="R56"/>
  <c r="N57"/>
  <c r="S56"/>
  <c r="O56"/>
  <c r="P56"/>
  <c r="F56"/>
  <c r="B57"/>
  <c r="G56"/>
  <c r="C56"/>
  <c r="D56"/>
  <c r="B87" i="4"/>
  <c r="C86"/>
  <c r="D86"/>
  <c r="F86"/>
  <c r="L87"/>
  <c r="M86"/>
  <c r="N86"/>
  <c r="P86"/>
  <c r="N87" i="11"/>
  <c r="R86"/>
  <c r="S86"/>
  <c r="O86"/>
  <c r="P86"/>
  <c r="K86" i="4"/>
  <c r="G87"/>
  <c r="H86"/>
  <c r="I86"/>
  <c r="H87" i="11"/>
  <c r="L86"/>
  <c r="M86"/>
  <c r="I86"/>
  <c r="J86"/>
  <c r="B87"/>
  <c r="F86"/>
  <c r="G86"/>
  <c r="C86"/>
  <c r="D86"/>
  <c r="F208"/>
  <c r="G208"/>
  <c r="B209"/>
  <c r="C208"/>
  <c r="D208"/>
  <c r="B209" i="4"/>
  <c r="C208"/>
  <c r="D208"/>
  <c r="E208"/>
  <c r="F208"/>
  <c r="N58" i="11"/>
  <c r="S57"/>
  <c r="R57"/>
  <c r="O57"/>
  <c r="P57"/>
  <c r="A219"/>
  <c r="B178"/>
  <c r="G177"/>
  <c r="F177"/>
  <c r="C177"/>
  <c r="D177"/>
  <c r="G148" i="4"/>
  <c r="K147"/>
  <c r="H147"/>
  <c r="I147"/>
  <c r="N148" i="11"/>
  <c r="S147"/>
  <c r="R147"/>
  <c r="O147"/>
  <c r="P147"/>
  <c r="B148" i="4"/>
  <c r="F147"/>
  <c r="C147"/>
  <c r="D147"/>
  <c r="F117" i="11"/>
  <c r="B118"/>
  <c r="G117"/>
  <c r="C117"/>
  <c r="D117"/>
  <c r="T178"/>
  <c r="Y177"/>
  <c r="X177"/>
  <c r="U177"/>
  <c r="V177"/>
  <c r="G58" i="4"/>
  <c r="K57"/>
  <c r="H57"/>
  <c r="I57"/>
  <c r="A159" i="11"/>
  <c r="J158" i="4"/>
  <c r="A159"/>
  <c r="O158"/>
  <c r="E158"/>
  <c r="K177"/>
  <c r="G178"/>
  <c r="H177"/>
  <c r="I177"/>
  <c r="H148" i="11"/>
  <c r="M147"/>
  <c r="L147"/>
  <c r="I147"/>
  <c r="J147"/>
  <c r="L58" i="4"/>
  <c r="P57"/>
  <c r="M57"/>
  <c r="N57"/>
  <c r="B178"/>
  <c r="F177"/>
  <c r="C177"/>
  <c r="D177"/>
  <c r="H58" i="11"/>
  <c r="M57"/>
  <c r="L57"/>
  <c r="I57"/>
  <c r="J57"/>
  <c r="S177"/>
  <c r="N178"/>
  <c r="R177"/>
  <c r="O177"/>
  <c r="P177"/>
  <c r="J69" i="4"/>
  <c r="A70"/>
  <c r="O69"/>
  <c r="E69"/>
  <c r="U177"/>
  <c r="Q178"/>
  <c r="R177"/>
  <c r="S177"/>
  <c r="A100" i="11"/>
  <c r="F117" i="4"/>
  <c r="B118"/>
  <c r="C117"/>
  <c r="D117"/>
  <c r="B58" i="11"/>
  <c r="G57"/>
  <c r="F57"/>
  <c r="C57"/>
  <c r="D57"/>
  <c r="B148"/>
  <c r="G147"/>
  <c r="F147"/>
  <c r="C147"/>
  <c r="D147"/>
  <c r="A69"/>
  <c r="A189" i="4"/>
  <c r="T188"/>
  <c r="J188"/>
  <c r="O188"/>
  <c r="E188"/>
  <c r="B58"/>
  <c r="F57"/>
  <c r="C57"/>
  <c r="D57"/>
  <c r="H178" i="11"/>
  <c r="M177"/>
  <c r="L177"/>
  <c r="I177"/>
  <c r="J177"/>
  <c r="L148" i="4"/>
  <c r="P147"/>
  <c r="M147"/>
  <c r="N147"/>
  <c r="L117" i="11"/>
  <c r="H118"/>
  <c r="M117"/>
  <c r="I117"/>
  <c r="J117"/>
  <c r="G118" i="4"/>
  <c r="K117"/>
  <c r="H117"/>
  <c r="I117"/>
  <c r="A100"/>
  <c r="O99"/>
  <c r="E99"/>
  <c r="J99"/>
  <c r="A130"/>
  <c r="J129"/>
  <c r="E129"/>
  <c r="A130" i="11"/>
  <c r="L178" i="4"/>
  <c r="P177"/>
  <c r="M177"/>
  <c r="N177"/>
  <c r="P87"/>
  <c r="L88"/>
  <c r="M87"/>
  <c r="N87"/>
  <c r="F87" i="11"/>
  <c r="G87"/>
  <c r="B88"/>
  <c r="C87"/>
  <c r="D87"/>
  <c r="H88"/>
  <c r="I87"/>
  <c r="J87"/>
  <c r="L87"/>
  <c r="M87"/>
  <c r="G88" i="4"/>
  <c r="H87"/>
  <c r="I87"/>
  <c r="K87"/>
  <c r="R87" i="11"/>
  <c r="S87"/>
  <c r="N88"/>
  <c r="O87"/>
  <c r="P87"/>
  <c r="B88" i="4"/>
  <c r="C87"/>
  <c r="D87"/>
  <c r="F87"/>
  <c r="F209"/>
  <c r="B210"/>
  <c r="C209"/>
  <c r="D209"/>
  <c r="E209"/>
  <c r="B210" i="11"/>
  <c r="F209"/>
  <c r="G209"/>
  <c r="C209"/>
  <c r="D209"/>
  <c r="P178" i="4"/>
  <c r="L179"/>
  <c r="M178"/>
  <c r="N178"/>
  <c r="H119" i="11"/>
  <c r="M118"/>
  <c r="L118"/>
  <c r="I118"/>
  <c r="J118"/>
  <c r="O189" i="4"/>
  <c r="E189"/>
  <c r="A190"/>
  <c r="T189"/>
  <c r="J189"/>
  <c r="A70" i="11"/>
  <c r="F148"/>
  <c r="B149"/>
  <c r="G148"/>
  <c r="C148"/>
  <c r="D148"/>
  <c r="F58"/>
  <c r="B59"/>
  <c r="G58"/>
  <c r="C58"/>
  <c r="D58"/>
  <c r="B119" i="4"/>
  <c r="F118"/>
  <c r="C118"/>
  <c r="D118"/>
  <c r="L58" i="11"/>
  <c r="H59"/>
  <c r="M58"/>
  <c r="I58"/>
  <c r="J58"/>
  <c r="L59" i="4"/>
  <c r="P58"/>
  <c r="M58"/>
  <c r="N58"/>
  <c r="L148" i="11"/>
  <c r="H149"/>
  <c r="M148"/>
  <c r="I148"/>
  <c r="J148"/>
  <c r="G179" i="4"/>
  <c r="K178"/>
  <c r="H178"/>
  <c r="I178"/>
  <c r="J159"/>
  <c r="A160"/>
  <c r="O159"/>
  <c r="E159"/>
  <c r="A160" i="11"/>
  <c r="G59" i="4"/>
  <c r="K58"/>
  <c r="H58"/>
  <c r="I58"/>
  <c r="T179" i="11"/>
  <c r="Y178"/>
  <c r="X178"/>
  <c r="U178"/>
  <c r="V178"/>
  <c r="B119"/>
  <c r="G118"/>
  <c r="F118"/>
  <c r="C118"/>
  <c r="D118"/>
  <c r="B149" i="4"/>
  <c r="F148"/>
  <c r="C148"/>
  <c r="D148"/>
  <c r="R148" i="11"/>
  <c r="N149"/>
  <c r="S148"/>
  <c r="O148"/>
  <c r="P148"/>
  <c r="G149" i="4"/>
  <c r="K148"/>
  <c r="H148"/>
  <c r="I148"/>
  <c r="B179" i="11"/>
  <c r="F178"/>
  <c r="G178"/>
  <c r="C178"/>
  <c r="D178"/>
  <c r="A131"/>
  <c r="E130" i="4"/>
  <c r="A131"/>
  <c r="J130"/>
  <c r="A101"/>
  <c r="O100"/>
  <c r="E100"/>
  <c r="J100"/>
  <c r="K118"/>
  <c r="G119"/>
  <c r="H118"/>
  <c r="I118"/>
  <c r="L149"/>
  <c r="P148"/>
  <c r="M148"/>
  <c r="N148"/>
  <c r="H179" i="11"/>
  <c r="M178"/>
  <c r="L178"/>
  <c r="I178"/>
  <c r="J178"/>
  <c r="B59" i="4"/>
  <c r="F58"/>
  <c r="C58"/>
  <c r="D58"/>
  <c r="A101" i="11"/>
  <c r="Q179" i="4"/>
  <c r="U178"/>
  <c r="R178"/>
  <c r="S178"/>
  <c r="J70"/>
  <c r="A71"/>
  <c r="O70"/>
  <c r="E70"/>
  <c r="N179" i="11"/>
  <c r="S178"/>
  <c r="R178"/>
  <c r="O178"/>
  <c r="P178"/>
  <c r="F178" i="4"/>
  <c r="B179"/>
  <c r="C178"/>
  <c r="D178"/>
  <c r="A220" i="11"/>
  <c r="R58"/>
  <c r="N59"/>
  <c r="S58"/>
  <c r="O58"/>
  <c r="P58"/>
  <c r="B89" i="4"/>
  <c r="C88"/>
  <c r="D88"/>
  <c r="F88"/>
  <c r="N89" i="11"/>
  <c r="R88"/>
  <c r="S88"/>
  <c r="O88"/>
  <c r="P88"/>
  <c r="P88" i="4"/>
  <c r="L89"/>
  <c r="M88"/>
  <c r="N88"/>
  <c r="G89"/>
  <c r="H88"/>
  <c r="I88"/>
  <c r="K88"/>
  <c r="H89" i="11"/>
  <c r="L88"/>
  <c r="M88"/>
  <c r="I88"/>
  <c r="J88"/>
  <c r="G88"/>
  <c r="C88"/>
  <c r="D88"/>
  <c r="B89"/>
  <c r="F88"/>
  <c r="F210"/>
  <c r="G210"/>
  <c r="B211"/>
  <c r="C210"/>
  <c r="D210"/>
  <c r="B211" i="4"/>
  <c r="C210"/>
  <c r="D210"/>
  <c r="E210"/>
  <c r="F210"/>
  <c r="U179"/>
  <c r="Q180"/>
  <c r="R179"/>
  <c r="S179"/>
  <c r="B60"/>
  <c r="F59"/>
  <c r="C59"/>
  <c r="D59"/>
  <c r="H180" i="11"/>
  <c r="M179"/>
  <c r="L179"/>
  <c r="I179"/>
  <c r="J179"/>
  <c r="L150" i="4"/>
  <c r="P149"/>
  <c r="M149"/>
  <c r="N149"/>
  <c r="O101"/>
  <c r="D22"/>
  <c r="E101"/>
  <c r="B22"/>
  <c r="J101"/>
  <c r="C22"/>
  <c r="J131"/>
  <c r="D23"/>
  <c r="E131"/>
  <c r="B23"/>
  <c r="N150" i="11"/>
  <c r="S149"/>
  <c r="R149"/>
  <c r="O149"/>
  <c r="P149"/>
  <c r="J160" i="4"/>
  <c r="A161"/>
  <c r="O160"/>
  <c r="E160"/>
  <c r="H150" i="11"/>
  <c r="M149"/>
  <c r="L149"/>
  <c r="I149"/>
  <c r="J149"/>
  <c r="H60"/>
  <c r="M59"/>
  <c r="L59"/>
  <c r="I59"/>
  <c r="J59"/>
  <c r="B60"/>
  <c r="G59"/>
  <c r="F59"/>
  <c r="C59"/>
  <c r="D59"/>
  <c r="B150"/>
  <c r="G149"/>
  <c r="F149"/>
  <c r="C149"/>
  <c r="D149"/>
  <c r="A71"/>
  <c r="A191" i="4"/>
  <c r="T190"/>
  <c r="J190"/>
  <c r="O190"/>
  <c r="E190"/>
  <c r="L180"/>
  <c r="P179"/>
  <c r="M179"/>
  <c r="N179"/>
  <c r="N60" i="11"/>
  <c r="S59"/>
  <c r="R59"/>
  <c r="O59"/>
  <c r="P59"/>
  <c r="A221"/>
  <c r="B180" i="4"/>
  <c r="F179"/>
  <c r="C179"/>
  <c r="D179"/>
  <c r="N180" i="11"/>
  <c r="S179"/>
  <c r="R179"/>
  <c r="O179"/>
  <c r="P179"/>
  <c r="J71" i="4"/>
  <c r="H20"/>
  <c r="O71"/>
  <c r="I20"/>
  <c r="E71"/>
  <c r="G20"/>
  <c r="G120"/>
  <c r="K119"/>
  <c r="H119"/>
  <c r="I119"/>
  <c r="B180" i="11"/>
  <c r="F179"/>
  <c r="G179"/>
  <c r="C179"/>
  <c r="D179"/>
  <c r="G150" i="4"/>
  <c r="K149"/>
  <c r="H149"/>
  <c r="I149"/>
  <c r="B150"/>
  <c r="F149"/>
  <c r="C149"/>
  <c r="D149"/>
  <c r="F119" i="11"/>
  <c r="B120"/>
  <c r="G119"/>
  <c r="C119"/>
  <c r="D119"/>
  <c r="T180"/>
  <c r="Y179"/>
  <c r="X179"/>
  <c r="U179"/>
  <c r="V179"/>
  <c r="G60" i="4"/>
  <c r="K59"/>
  <c r="H59"/>
  <c r="I59"/>
  <c r="A161" i="11"/>
  <c r="K179" i="4"/>
  <c r="G180"/>
  <c r="H179"/>
  <c r="I179"/>
  <c r="L60"/>
  <c r="P59"/>
  <c r="M59"/>
  <c r="N59"/>
  <c r="F119"/>
  <c r="B120"/>
  <c r="C119"/>
  <c r="D119"/>
  <c r="L119" i="11"/>
  <c r="H120"/>
  <c r="M119"/>
  <c r="I119"/>
  <c r="J119"/>
  <c r="B90"/>
  <c r="C89"/>
  <c r="D89"/>
  <c r="F89"/>
  <c r="G89"/>
  <c r="L89"/>
  <c r="M89"/>
  <c r="H90"/>
  <c r="I89"/>
  <c r="J89"/>
  <c r="F89" i="4"/>
  <c r="B90"/>
  <c r="C89"/>
  <c r="D89"/>
  <c r="G90"/>
  <c r="H89"/>
  <c r="I89"/>
  <c r="K89"/>
  <c r="L90"/>
  <c r="M89"/>
  <c r="N89"/>
  <c r="P89"/>
  <c r="N90" i="11"/>
  <c r="O89"/>
  <c r="P89"/>
  <c r="R89"/>
  <c r="S89"/>
  <c r="F211" i="4"/>
  <c r="B212"/>
  <c r="C211"/>
  <c r="D211"/>
  <c r="E211"/>
  <c r="G211" i="11"/>
  <c r="C211"/>
  <c r="D211"/>
  <c r="B212"/>
  <c r="F211"/>
  <c r="H121"/>
  <c r="M120"/>
  <c r="L120"/>
  <c r="I120"/>
  <c r="J120"/>
  <c r="B121"/>
  <c r="G120"/>
  <c r="F120"/>
  <c r="C120"/>
  <c r="D120"/>
  <c r="B151" i="4"/>
  <c r="F150"/>
  <c r="C150"/>
  <c r="D150"/>
  <c r="K120"/>
  <c r="G121"/>
  <c r="H120"/>
  <c r="I120"/>
  <c r="F180"/>
  <c r="B181"/>
  <c r="C180"/>
  <c r="D180"/>
  <c r="R60" i="11"/>
  <c r="N61"/>
  <c r="S60"/>
  <c r="O60"/>
  <c r="P60"/>
  <c r="R150"/>
  <c r="N151"/>
  <c r="S150"/>
  <c r="O150"/>
  <c r="P150"/>
  <c r="L151" i="4"/>
  <c r="P150"/>
  <c r="M150"/>
  <c r="N150"/>
  <c r="L180" i="11"/>
  <c r="H181"/>
  <c r="M180"/>
  <c r="I180"/>
  <c r="J180"/>
  <c r="B121" i="4"/>
  <c r="F120"/>
  <c r="C120"/>
  <c r="D120"/>
  <c r="L61"/>
  <c r="P60"/>
  <c r="M60"/>
  <c r="N60"/>
  <c r="G181"/>
  <c r="K180"/>
  <c r="H180"/>
  <c r="I180"/>
  <c r="G61"/>
  <c r="K60"/>
  <c r="H60"/>
  <c r="I60"/>
  <c r="X180" i="11"/>
  <c r="T181"/>
  <c r="Y180"/>
  <c r="U180"/>
  <c r="V180"/>
  <c r="G151" i="4"/>
  <c r="K150"/>
  <c r="H150"/>
  <c r="I150"/>
  <c r="F180" i="11"/>
  <c r="B181"/>
  <c r="G180"/>
  <c r="C180"/>
  <c r="D180"/>
  <c r="R180"/>
  <c r="N181"/>
  <c r="S180"/>
  <c r="O180"/>
  <c r="P180"/>
  <c r="P180" i="4"/>
  <c r="L181"/>
  <c r="M180"/>
  <c r="N180"/>
  <c r="O191"/>
  <c r="D25"/>
  <c r="E191"/>
  <c r="B25"/>
  <c r="T191"/>
  <c r="E25"/>
  <c r="J191"/>
  <c r="C25"/>
  <c r="F150" i="11"/>
  <c r="B151"/>
  <c r="G150"/>
  <c r="C150"/>
  <c r="D150"/>
  <c r="F60"/>
  <c r="B61"/>
  <c r="G60"/>
  <c r="C60"/>
  <c r="D60"/>
  <c r="L60"/>
  <c r="H61"/>
  <c r="M60"/>
  <c r="I60"/>
  <c r="J60"/>
  <c r="L150"/>
  <c r="H151"/>
  <c r="M150"/>
  <c r="I150"/>
  <c r="J150"/>
  <c r="J161" i="4"/>
  <c r="D24"/>
  <c r="O161"/>
  <c r="F24"/>
  <c r="E161"/>
  <c r="B24"/>
  <c r="B61"/>
  <c r="F60"/>
  <c r="C60"/>
  <c r="D60"/>
  <c r="Q181"/>
  <c r="U180"/>
  <c r="R180"/>
  <c r="S180"/>
  <c r="N91" i="11"/>
  <c r="R90"/>
  <c r="S90"/>
  <c r="O90"/>
  <c r="P90"/>
  <c r="K90" i="4"/>
  <c r="G91"/>
  <c r="H90"/>
  <c r="I90"/>
  <c r="H91" i="11"/>
  <c r="L90"/>
  <c r="M90"/>
  <c r="I90"/>
  <c r="J90"/>
  <c r="G90"/>
  <c r="C90"/>
  <c r="D90"/>
  <c r="B91"/>
  <c r="F90"/>
  <c r="P90" i="4"/>
  <c r="L91"/>
  <c r="M90"/>
  <c r="N90"/>
  <c r="B91"/>
  <c r="C90"/>
  <c r="D90"/>
  <c r="F90"/>
  <c r="B213" i="11"/>
  <c r="C212"/>
  <c r="D212"/>
  <c r="F212"/>
  <c r="G212"/>
  <c r="F212" i="4"/>
  <c r="B213"/>
  <c r="C212"/>
  <c r="D212"/>
  <c r="E212"/>
  <c r="U181"/>
  <c r="Q182"/>
  <c r="R181"/>
  <c r="S181"/>
  <c r="L182"/>
  <c r="P181"/>
  <c r="M181"/>
  <c r="N181"/>
  <c r="N182" i="11"/>
  <c r="S181"/>
  <c r="R181"/>
  <c r="O181"/>
  <c r="P181"/>
  <c r="B182"/>
  <c r="G181"/>
  <c r="F181"/>
  <c r="C181"/>
  <c r="D181"/>
  <c r="G152" i="4"/>
  <c r="K151"/>
  <c r="H151"/>
  <c r="I151"/>
  <c r="K181"/>
  <c r="G182"/>
  <c r="H181"/>
  <c r="I181"/>
  <c r="F121"/>
  <c r="B122"/>
  <c r="C121"/>
  <c r="D121"/>
  <c r="H182" i="11"/>
  <c r="M181"/>
  <c r="L181"/>
  <c r="I181"/>
  <c r="J181"/>
  <c r="L152" i="4"/>
  <c r="P151"/>
  <c r="M151"/>
  <c r="N151"/>
  <c r="B182"/>
  <c r="F181"/>
  <c r="C181"/>
  <c r="D181"/>
  <c r="B152"/>
  <c r="F151"/>
  <c r="C151"/>
  <c r="D151"/>
  <c r="F121" i="11"/>
  <c r="B122"/>
  <c r="G121"/>
  <c r="C121"/>
  <c r="D121"/>
  <c r="L121"/>
  <c r="H122"/>
  <c r="M121"/>
  <c r="I121"/>
  <c r="J121"/>
  <c r="B62" i="4"/>
  <c r="F61"/>
  <c r="C61"/>
  <c r="D61"/>
  <c r="H152" i="11"/>
  <c r="M151"/>
  <c r="L151"/>
  <c r="I151"/>
  <c r="J151"/>
  <c r="H62"/>
  <c r="M61"/>
  <c r="L61"/>
  <c r="I61"/>
  <c r="J61"/>
  <c r="B62"/>
  <c r="G61"/>
  <c r="F61"/>
  <c r="C61"/>
  <c r="D61"/>
  <c r="G151"/>
  <c r="B152"/>
  <c r="F151"/>
  <c r="C151"/>
  <c r="D151"/>
  <c r="T182"/>
  <c r="Y181"/>
  <c r="X181"/>
  <c r="U181"/>
  <c r="V181"/>
  <c r="G62" i="4"/>
  <c r="K61"/>
  <c r="H61"/>
  <c r="I61"/>
  <c r="L62"/>
  <c r="P61"/>
  <c r="M61"/>
  <c r="N61"/>
  <c r="R151" i="11"/>
  <c r="S151"/>
  <c r="N152"/>
  <c r="O151"/>
  <c r="P151"/>
  <c r="N62"/>
  <c r="S61"/>
  <c r="R61"/>
  <c r="O61"/>
  <c r="P61"/>
  <c r="G122" i="4"/>
  <c r="K121"/>
  <c r="H121"/>
  <c r="I121"/>
  <c r="F91"/>
  <c r="B92"/>
  <c r="C91"/>
  <c r="D91"/>
  <c r="L92"/>
  <c r="M91"/>
  <c r="N91"/>
  <c r="P91"/>
  <c r="R91" i="11"/>
  <c r="S91"/>
  <c r="N92"/>
  <c r="O91"/>
  <c r="P91"/>
  <c r="B92"/>
  <c r="C91"/>
  <c r="D91"/>
  <c r="F91"/>
  <c r="G91"/>
  <c r="L91"/>
  <c r="M91"/>
  <c r="H92"/>
  <c r="I91"/>
  <c r="J91"/>
  <c r="K91" i="4"/>
  <c r="G92"/>
  <c r="H91"/>
  <c r="I91"/>
  <c r="G213" i="11"/>
  <c r="C213"/>
  <c r="D213"/>
  <c r="B214"/>
  <c r="F213"/>
  <c r="F213" i="4"/>
  <c r="B214"/>
  <c r="C213"/>
  <c r="D213"/>
  <c r="E213"/>
  <c r="K122"/>
  <c r="G123"/>
  <c r="H122"/>
  <c r="I122"/>
  <c r="R62" i="11"/>
  <c r="N63"/>
  <c r="S62"/>
  <c r="O62"/>
  <c r="P62"/>
  <c r="N153"/>
  <c r="S152"/>
  <c r="R152"/>
  <c r="O152"/>
  <c r="P152"/>
  <c r="L63" i="4"/>
  <c r="P62"/>
  <c r="M62"/>
  <c r="N62"/>
  <c r="B153" i="11"/>
  <c r="G152"/>
  <c r="F152"/>
  <c r="C152"/>
  <c r="D152"/>
  <c r="B63" i="4"/>
  <c r="F62"/>
  <c r="C62"/>
  <c r="D62"/>
  <c r="H123" i="11"/>
  <c r="M122"/>
  <c r="L122"/>
  <c r="I122"/>
  <c r="J122"/>
  <c r="F182" i="4"/>
  <c r="B183"/>
  <c r="C182"/>
  <c r="D182"/>
  <c r="L153"/>
  <c r="P152"/>
  <c r="M152"/>
  <c r="N152"/>
  <c r="L182" i="11"/>
  <c r="H183"/>
  <c r="M182"/>
  <c r="I182"/>
  <c r="J182"/>
  <c r="B123" i="4"/>
  <c r="F122"/>
  <c r="C122"/>
  <c r="D122"/>
  <c r="P182"/>
  <c r="L183"/>
  <c r="M182"/>
  <c r="N182"/>
  <c r="Q183"/>
  <c r="U182"/>
  <c r="R182"/>
  <c r="S182"/>
  <c r="G63"/>
  <c r="K62"/>
  <c r="H62"/>
  <c r="I62"/>
  <c r="X182" i="11"/>
  <c r="T183"/>
  <c r="Y182"/>
  <c r="U182"/>
  <c r="V182"/>
  <c r="F62"/>
  <c r="B63"/>
  <c r="G62"/>
  <c r="C62"/>
  <c r="D62"/>
  <c r="L62"/>
  <c r="H63"/>
  <c r="M62"/>
  <c r="I62"/>
  <c r="J62"/>
  <c r="H153"/>
  <c r="M152"/>
  <c r="L152"/>
  <c r="I152"/>
  <c r="J152"/>
  <c r="B123"/>
  <c r="G122"/>
  <c r="F122"/>
  <c r="C122"/>
  <c r="D122"/>
  <c r="B153" i="4"/>
  <c r="F152"/>
  <c r="C152"/>
  <c r="D152"/>
  <c r="G183"/>
  <c r="K182"/>
  <c r="H182"/>
  <c r="I182"/>
  <c r="G153"/>
  <c r="K152"/>
  <c r="H152"/>
  <c r="I152"/>
  <c r="F182" i="11"/>
  <c r="B183"/>
  <c r="G182"/>
  <c r="C182"/>
  <c r="D182"/>
  <c r="R182"/>
  <c r="N183"/>
  <c r="S182"/>
  <c r="O182"/>
  <c r="P182"/>
  <c r="M92"/>
  <c r="I92"/>
  <c r="J92"/>
  <c r="H93"/>
  <c r="L92"/>
  <c r="B93"/>
  <c r="F92"/>
  <c r="G92"/>
  <c r="C92"/>
  <c r="D92"/>
  <c r="S92"/>
  <c r="O92"/>
  <c r="P92"/>
  <c r="N93"/>
  <c r="R92"/>
  <c r="K92" i="4"/>
  <c r="G93"/>
  <c r="H92"/>
  <c r="I92"/>
  <c r="L93"/>
  <c r="M92"/>
  <c r="N92"/>
  <c r="P92"/>
  <c r="F92"/>
  <c r="B93"/>
  <c r="C92"/>
  <c r="D92"/>
  <c r="B215" i="11"/>
  <c r="C214"/>
  <c r="D214"/>
  <c r="F214"/>
  <c r="G214"/>
  <c r="B215" i="4"/>
  <c r="F214"/>
  <c r="C214"/>
  <c r="D214"/>
  <c r="E214"/>
  <c r="H64" i="11"/>
  <c r="M63"/>
  <c r="L63"/>
  <c r="I63"/>
  <c r="J63"/>
  <c r="K183" i="4"/>
  <c r="G184"/>
  <c r="H183"/>
  <c r="I183"/>
  <c r="B154"/>
  <c r="F153"/>
  <c r="C153"/>
  <c r="D153"/>
  <c r="F123" i="11"/>
  <c r="B124"/>
  <c r="G123"/>
  <c r="C123"/>
  <c r="D123"/>
  <c r="L153"/>
  <c r="M153"/>
  <c r="H154"/>
  <c r="I153"/>
  <c r="J153"/>
  <c r="H184"/>
  <c r="M183"/>
  <c r="L183"/>
  <c r="I183"/>
  <c r="J183"/>
  <c r="L154" i="4"/>
  <c r="P153"/>
  <c r="M153"/>
  <c r="N153"/>
  <c r="B184"/>
  <c r="F183"/>
  <c r="C183"/>
  <c r="D183"/>
  <c r="L123" i="11"/>
  <c r="H124"/>
  <c r="M123"/>
  <c r="I123"/>
  <c r="J123"/>
  <c r="L64" i="4"/>
  <c r="P63"/>
  <c r="M63"/>
  <c r="N63"/>
  <c r="R153" i="11"/>
  <c r="N154"/>
  <c r="S153"/>
  <c r="O153"/>
  <c r="P153"/>
  <c r="G124" i="4"/>
  <c r="K123"/>
  <c r="H123"/>
  <c r="I123"/>
  <c r="N184" i="11"/>
  <c r="S183"/>
  <c r="R183"/>
  <c r="O183"/>
  <c r="P183"/>
  <c r="B184"/>
  <c r="G183"/>
  <c r="F183"/>
  <c r="C183"/>
  <c r="D183"/>
  <c r="G154" i="4"/>
  <c r="K153"/>
  <c r="H153"/>
  <c r="I153"/>
  <c r="B64" i="11"/>
  <c r="G63"/>
  <c r="F63"/>
  <c r="C63"/>
  <c r="D63"/>
  <c r="T184"/>
  <c r="Y183"/>
  <c r="X183"/>
  <c r="U183"/>
  <c r="V183"/>
  <c r="G64" i="4"/>
  <c r="K63"/>
  <c r="H63"/>
  <c r="I63"/>
  <c r="U183"/>
  <c r="Q184"/>
  <c r="R183"/>
  <c r="S183"/>
  <c r="L184"/>
  <c r="P183"/>
  <c r="M183"/>
  <c r="N183"/>
  <c r="F123"/>
  <c r="B124"/>
  <c r="C123"/>
  <c r="D123"/>
  <c r="B64"/>
  <c r="F63"/>
  <c r="C63"/>
  <c r="D63"/>
  <c r="F153" i="11"/>
  <c r="B154"/>
  <c r="G153"/>
  <c r="C153"/>
  <c r="D153"/>
  <c r="N64"/>
  <c r="S63"/>
  <c r="R63"/>
  <c r="O63"/>
  <c r="P63"/>
  <c r="F93" i="4"/>
  <c r="B94"/>
  <c r="C93"/>
  <c r="D93"/>
  <c r="P93"/>
  <c r="L94"/>
  <c r="M93"/>
  <c r="N93"/>
  <c r="R93" i="11"/>
  <c r="S93"/>
  <c r="N94"/>
  <c r="O93"/>
  <c r="P93"/>
  <c r="F93"/>
  <c r="G93"/>
  <c r="B94"/>
  <c r="C93"/>
  <c r="D93"/>
  <c r="L93"/>
  <c r="M93"/>
  <c r="H94"/>
  <c r="I93"/>
  <c r="J93"/>
  <c r="G94" i="4"/>
  <c r="H93"/>
  <c r="I93"/>
  <c r="K93"/>
  <c r="B216"/>
  <c r="C215"/>
  <c r="D215"/>
  <c r="E215"/>
  <c r="F215"/>
  <c r="G215" i="11"/>
  <c r="C215"/>
  <c r="D215"/>
  <c r="B216"/>
  <c r="F215"/>
  <c r="R64"/>
  <c r="N65"/>
  <c r="S64"/>
  <c r="O64"/>
  <c r="P64"/>
  <c r="B155"/>
  <c r="G154"/>
  <c r="F154"/>
  <c r="C154"/>
  <c r="D154"/>
  <c r="B65" i="4"/>
  <c r="F64"/>
  <c r="C64"/>
  <c r="D64"/>
  <c r="B125"/>
  <c r="F124"/>
  <c r="C124"/>
  <c r="D124"/>
  <c r="P184"/>
  <c r="L185"/>
  <c r="M184"/>
  <c r="N184"/>
  <c r="Q185"/>
  <c r="U184"/>
  <c r="R184"/>
  <c r="S184"/>
  <c r="G65"/>
  <c r="K64"/>
  <c r="H64"/>
  <c r="I64"/>
  <c r="X184" i="11"/>
  <c r="T185"/>
  <c r="Y184"/>
  <c r="U184"/>
  <c r="V184"/>
  <c r="F64"/>
  <c r="B65"/>
  <c r="G64"/>
  <c r="C64"/>
  <c r="D64"/>
  <c r="G155" i="4"/>
  <c r="K154"/>
  <c r="H154"/>
  <c r="I154"/>
  <c r="F184" i="11"/>
  <c r="B185"/>
  <c r="G184"/>
  <c r="C184"/>
  <c r="D184"/>
  <c r="R184"/>
  <c r="N185"/>
  <c r="S184"/>
  <c r="O184"/>
  <c r="P184"/>
  <c r="K124" i="4"/>
  <c r="G125"/>
  <c r="H124"/>
  <c r="I124"/>
  <c r="F184"/>
  <c r="B185"/>
  <c r="C184"/>
  <c r="D184"/>
  <c r="H155" i="11"/>
  <c r="M154"/>
  <c r="L154"/>
  <c r="I154"/>
  <c r="J154"/>
  <c r="L64"/>
  <c r="H65"/>
  <c r="M64"/>
  <c r="I64"/>
  <c r="J64"/>
  <c r="N155"/>
  <c r="S154"/>
  <c r="R154"/>
  <c r="O154"/>
  <c r="P154"/>
  <c r="L65" i="4"/>
  <c r="P64"/>
  <c r="M64"/>
  <c r="N64"/>
  <c r="H125" i="11"/>
  <c r="M124"/>
  <c r="L124"/>
  <c r="I124"/>
  <c r="J124"/>
  <c r="L155" i="4"/>
  <c r="P154"/>
  <c r="M154"/>
  <c r="N154"/>
  <c r="L184" i="11"/>
  <c r="H185"/>
  <c r="M184"/>
  <c r="I184"/>
  <c r="J184"/>
  <c r="B125"/>
  <c r="G124"/>
  <c r="F124"/>
  <c r="C124"/>
  <c r="D124"/>
  <c r="B155" i="4"/>
  <c r="F154"/>
  <c r="C154"/>
  <c r="D154"/>
  <c r="G185"/>
  <c r="K184"/>
  <c r="H184"/>
  <c r="I184"/>
  <c r="B95"/>
  <c r="C94"/>
  <c r="D94"/>
  <c r="F94"/>
  <c r="G95"/>
  <c r="H94"/>
  <c r="I94"/>
  <c r="K94"/>
  <c r="H95" i="11"/>
  <c r="L94"/>
  <c r="M94"/>
  <c r="I94"/>
  <c r="J94"/>
  <c r="G94"/>
  <c r="C94"/>
  <c r="D94"/>
  <c r="F94"/>
  <c r="B95"/>
  <c r="S94"/>
  <c r="O94"/>
  <c r="P94"/>
  <c r="N95"/>
  <c r="R94"/>
  <c r="P94" i="4"/>
  <c r="M94"/>
  <c r="N94"/>
  <c r="L95"/>
  <c r="F216"/>
  <c r="B217"/>
  <c r="C216"/>
  <c r="D216"/>
  <c r="E216"/>
  <c r="B217" i="11"/>
  <c r="C216"/>
  <c r="D216"/>
  <c r="F216"/>
  <c r="G216"/>
  <c r="K185" i="4"/>
  <c r="G186"/>
  <c r="H185"/>
  <c r="I185"/>
  <c r="B156"/>
  <c r="F155"/>
  <c r="C155"/>
  <c r="D155"/>
  <c r="F125" i="11"/>
  <c r="B126"/>
  <c r="G125"/>
  <c r="C125"/>
  <c r="D125"/>
  <c r="L66" i="4"/>
  <c r="P65"/>
  <c r="M65"/>
  <c r="N65"/>
  <c r="R155" i="11"/>
  <c r="S155"/>
  <c r="N156"/>
  <c r="O155"/>
  <c r="P155"/>
  <c r="H66"/>
  <c r="M65"/>
  <c r="L65"/>
  <c r="I65"/>
  <c r="J65"/>
  <c r="G126" i="4"/>
  <c r="K125"/>
  <c r="H125"/>
  <c r="I125"/>
  <c r="N186" i="11"/>
  <c r="S185"/>
  <c r="R185"/>
  <c r="O185"/>
  <c r="P185"/>
  <c r="B186"/>
  <c r="G185"/>
  <c r="F185"/>
  <c r="C185"/>
  <c r="D185"/>
  <c r="G156" i="4"/>
  <c r="K155"/>
  <c r="H155"/>
  <c r="I155"/>
  <c r="U185"/>
  <c r="Q186"/>
  <c r="R185"/>
  <c r="S185"/>
  <c r="L186"/>
  <c r="P185"/>
  <c r="M185"/>
  <c r="N185"/>
  <c r="F125"/>
  <c r="B126"/>
  <c r="C125"/>
  <c r="D125"/>
  <c r="N66" i="11"/>
  <c r="S65"/>
  <c r="R65"/>
  <c r="O65"/>
  <c r="P65"/>
  <c r="H186"/>
  <c r="M185"/>
  <c r="L185"/>
  <c r="I185"/>
  <c r="J185"/>
  <c r="L156" i="4"/>
  <c r="P155"/>
  <c r="M155"/>
  <c r="N155"/>
  <c r="L125" i="11"/>
  <c r="H126"/>
  <c r="M125"/>
  <c r="I125"/>
  <c r="J125"/>
  <c r="L155"/>
  <c r="H156"/>
  <c r="M155"/>
  <c r="I155"/>
  <c r="J155"/>
  <c r="B186" i="4"/>
  <c r="F185"/>
  <c r="C185"/>
  <c r="D185"/>
  <c r="B66" i="11"/>
  <c r="G65"/>
  <c r="F65"/>
  <c r="C65"/>
  <c r="D65"/>
  <c r="T186"/>
  <c r="Y185"/>
  <c r="X185"/>
  <c r="U185"/>
  <c r="V185"/>
  <c r="G66" i="4"/>
  <c r="K65"/>
  <c r="H65"/>
  <c r="I65"/>
  <c r="B66"/>
  <c r="F65"/>
  <c r="C65"/>
  <c r="D65"/>
  <c r="F155" i="11"/>
  <c r="G155"/>
  <c r="B156"/>
  <c r="C155"/>
  <c r="D155"/>
  <c r="P95" i="4"/>
  <c r="L96"/>
  <c r="M95"/>
  <c r="N95"/>
  <c r="N96" i="11"/>
  <c r="O95"/>
  <c r="P95"/>
  <c r="R95"/>
  <c r="S95"/>
  <c r="H96"/>
  <c r="I95"/>
  <c r="J95"/>
  <c r="L95"/>
  <c r="M95"/>
  <c r="F95"/>
  <c r="G95"/>
  <c r="B96"/>
  <c r="C95"/>
  <c r="D95"/>
  <c r="G96" i="4"/>
  <c r="H95"/>
  <c r="I95"/>
  <c r="K95"/>
  <c r="B96"/>
  <c r="C95"/>
  <c r="D95"/>
  <c r="F95"/>
  <c r="B218" i="11"/>
  <c r="F217"/>
  <c r="G217"/>
  <c r="C217"/>
  <c r="D217"/>
  <c r="B218" i="4"/>
  <c r="C217"/>
  <c r="D217"/>
  <c r="E217"/>
  <c r="F217"/>
  <c r="B157" i="11"/>
  <c r="G156"/>
  <c r="F156"/>
  <c r="C156"/>
  <c r="D156"/>
  <c r="B67" i="4"/>
  <c r="F66"/>
  <c r="C66"/>
  <c r="D66"/>
  <c r="G67"/>
  <c r="K66"/>
  <c r="H66"/>
  <c r="I66"/>
  <c r="X186" i="11"/>
  <c r="T187"/>
  <c r="Y186"/>
  <c r="U186"/>
  <c r="V186"/>
  <c r="F66"/>
  <c r="B67"/>
  <c r="G66"/>
  <c r="C66"/>
  <c r="D66"/>
  <c r="F186" i="4"/>
  <c r="B187"/>
  <c r="C186"/>
  <c r="D186"/>
  <c r="L157"/>
  <c r="P156"/>
  <c r="M156"/>
  <c r="N156"/>
  <c r="L186" i="11"/>
  <c r="H187"/>
  <c r="M186"/>
  <c r="I186"/>
  <c r="J186"/>
  <c r="R66"/>
  <c r="N67"/>
  <c r="S66"/>
  <c r="O66"/>
  <c r="P66"/>
  <c r="B127" i="4"/>
  <c r="F126"/>
  <c r="C126"/>
  <c r="D126"/>
  <c r="Q187"/>
  <c r="U186"/>
  <c r="R186"/>
  <c r="S186"/>
  <c r="N157" i="11"/>
  <c r="S156"/>
  <c r="R156"/>
  <c r="O156"/>
  <c r="P156"/>
  <c r="L67" i="4"/>
  <c r="P66"/>
  <c r="M66"/>
  <c r="N66"/>
  <c r="B127" i="11"/>
  <c r="G126"/>
  <c r="F126"/>
  <c r="C126"/>
  <c r="D126"/>
  <c r="G187" i="4"/>
  <c r="K186"/>
  <c r="H186"/>
  <c r="I186"/>
  <c r="H157" i="11"/>
  <c r="M156"/>
  <c r="L156"/>
  <c r="I156"/>
  <c r="J156"/>
  <c r="H127"/>
  <c r="M126"/>
  <c r="L126"/>
  <c r="I126"/>
  <c r="J126"/>
  <c r="P186" i="4"/>
  <c r="L187"/>
  <c r="M186"/>
  <c r="N186"/>
  <c r="G157"/>
  <c r="K156"/>
  <c r="H156"/>
  <c r="I156"/>
  <c r="F186" i="11"/>
  <c r="B187"/>
  <c r="G186"/>
  <c r="C186"/>
  <c r="D186"/>
  <c r="R186"/>
  <c r="N187"/>
  <c r="S186"/>
  <c r="O186"/>
  <c r="P186"/>
  <c r="K126" i="4"/>
  <c r="G127"/>
  <c r="H126"/>
  <c r="I126"/>
  <c r="L66" i="11"/>
  <c r="H67"/>
  <c r="M66"/>
  <c r="I66"/>
  <c r="J66"/>
  <c r="B157" i="4"/>
  <c r="F156"/>
  <c r="C156"/>
  <c r="D156"/>
  <c r="F96"/>
  <c r="B97"/>
  <c r="C96"/>
  <c r="D96"/>
  <c r="G96" i="11"/>
  <c r="C96"/>
  <c r="D96"/>
  <c r="B97"/>
  <c r="F96"/>
  <c r="G97" i="4"/>
  <c r="H96"/>
  <c r="I96"/>
  <c r="K96"/>
  <c r="H97" i="11"/>
  <c r="L96"/>
  <c r="M96"/>
  <c r="I96"/>
  <c r="J96"/>
  <c r="N97"/>
  <c r="R96"/>
  <c r="S96"/>
  <c r="O96"/>
  <c r="P96"/>
  <c r="P96" i="4"/>
  <c r="L97"/>
  <c r="M96"/>
  <c r="N96"/>
  <c r="F218"/>
  <c r="B219"/>
  <c r="C218"/>
  <c r="D218"/>
  <c r="E218"/>
  <c r="B219" i="11"/>
  <c r="C218"/>
  <c r="D218"/>
  <c r="F218"/>
  <c r="G218"/>
  <c r="K187" i="4"/>
  <c r="G188"/>
  <c r="H187"/>
  <c r="I187"/>
  <c r="F127" i="11"/>
  <c r="B128"/>
  <c r="G127"/>
  <c r="C127"/>
  <c r="D127"/>
  <c r="U187" i="4"/>
  <c r="Q188"/>
  <c r="R187"/>
  <c r="S187"/>
  <c r="N68" i="11"/>
  <c r="S67"/>
  <c r="R67"/>
  <c r="O67"/>
  <c r="P67"/>
  <c r="H188"/>
  <c r="M187"/>
  <c r="L187"/>
  <c r="I187"/>
  <c r="J187"/>
  <c r="L158" i="4"/>
  <c r="P157"/>
  <c r="M157"/>
  <c r="N157"/>
  <c r="B188"/>
  <c r="F187"/>
  <c r="C187"/>
  <c r="D187"/>
  <c r="B68" i="11"/>
  <c r="G67"/>
  <c r="F67"/>
  <c r="C67"/>
  <c r="D67"/>
  <c r="T188"/>
  <c r="Y187"/>
  <c r="X187"/>
  <c r="U187"/>
  <c r="V187"/>
  <c r="G68" i="4"/>
  <c r="K67"/>
  <c r="H67"/>
  <c r="I67"/>
  <c r="H68" i="11"/>
  <c r="M67"/>
  <c r="L67"/>
  <c r="I67"/>
  <c r="J67"/>
  <c r="B158" i="4"/>
  <c r="F157"/>
  <c r="C157"/>
  <c r="D157"/>
  <c r="G128"/>
  <c r="K127"/>
  <c r="H127"/>
  <c r="I127"/>
  <c r="N188" i="11"/>
  <c r="S187"/>
  <c r="R187"/>
  <c r="O187"/>
  <c r="P187"/>
  <c r="B188"/>
  <c r="G187"/>
  <c r="F187"/>
  <c r="C187"/>
  <c r="D187"/>
  <c r="G158" i="4"/>
  <c r="K157"/>
  <c r="H157"/>
  <c r="I157"/>
  <c r="L188"/>
  <c r="P187"/>
  <c r="M187"/>
  <c r="N187"/>
  <c r="L127" i="11"/>
  <c r="H128"/>
  <c r="M127"/>
  <c r="I127"/>
  <c r="J127"/>
  <c r="L157"/>
  <c r="M157"/>
  <c r="H158"/>
  <c r="I157"/>
  <c r="J157"/>
  <c r="L68" i="4"/>
  <c r="P67"/>
  <c r="M67"/>
  <c r="N67"/>
  <c r="R157" i="11"/>
  <c r="N158"/>
  <c r="S157"/>
  <c r="O157"/>
  <c r="P157"/>
  <c r="F127" i="4"/>
  <c r="B128"/>
  <c r="C127"/>
  <c r="D127"/>
  <c r="B68"/>
  <c r="F67"/>
  <c r="C67"/>
  <c r="D67"/>
  <c r="F157" i="11"/>
  <c r="B158"/>
  <c r="G157"/>
  <c r="C157"/>
  <c r="D157"/>
  <c r="L98" i="4"/>
  <c r="D30"/>
  <c r="M97"/>
  <c r="N97"/>
  <c r="P97"/>
  <c r="R97" i="11"/>
  <c r="S97"/>
  <c r="N98"/>
  <c r="O97"/>
  <c r="P97"/>
  <c r="L97"/>
  <c r="M97"/>
  <c r="H98"/>
  <c r="I97"/>
  <c r="J97"/>
  <c r="K97" i="4"/>
  <c r="G98"/>
  <c r="H97"/>
  <c r="I97"/>
  <c r="B98" i="11"/>
  <c r="C97"/>
  <c r="D97"/>
  <c r="F97"/>
  <c r="G97"/>
  <c r="B98" i="4"/>
  <c r="C97"/>
  <c r="D97"/>
  <c r="F97"/>
  <c r="B220" i="11"/>
  <c r="F219"/>
  <c r="G219"/>
  <c r="C219"/>
  <c r="D219"/>
  <c r="F219" i="4"/>
  <c r="B220"/>
  <c r="C219"/>
  <c r="D219"/>
  <c r="E219"/>
  <c r="H129" i="11"/>
  <c r="M128"/>
  <c r="L128"/>
  <c r="I128"/>
  <c r="J128"/>
  <c r="H159"/>
  <c r="M158"/>
  <c r="L158"/>
  <c r="I158"/>
  <c r="J158"/>
  <c r="G159" i="4"/>
  <c r="K158"/>
  <c r="H158"/>
  <c r="I158"/>
  <c r="F188" i="11"/>
  <c r="B189"/>
  <c r="G188"/>
  <c r="C188"/>
  <c r="D188"/>
  <c r="R188"/>
  <c r="N189"/>
  <c r="S188"/>
  <c r="O188"/>
  <c r="P188"/>
  <c r="B159" i="4"/>
  <c r="F158"/>
  <c r="C158"/>
  <c r="D158"/>
  <c r="L68" i="11"/>
  <c r="H69"/>
  <c r="M68"/>
  <c r="I68"/>
  <c r="J68"/>
  <c r="G69" i="4"/>
  <c r="K68"/>
  <c r="H68"/>
  <c r="I68"/>
  <c r="X188" i="11"/>
  <c r="T189"/>
  <c r="Y188"/>
  <c r="U188"/>
  <c r="V188"/>
  <c r="F68"/>
  <c r="B69"/>
  <c r="G68"/>
  <c r="C68"/>
  <c r="D68"/>
  <c r="L159" i="4"/>
  <c r="P158"/>
  <c r="M158"/>
  <c r="N158"/>
  <c r="L188" i="11"/>
  <c r="H189"/>
  <c r="M188"/>
  <c r="I188"/>
  <c r="J188"/>
  <c r="R68"/>
  <c r="N69"/>
  <c r="S68"/>
  <c r="O68"/>
  <c r="P68"/>
  <c r="Q189" i="4"/>
  <c r="U188"/>
  <c r="R188"/>
  <c r="S188"/>
  <c r="B129" i="11"/>
  <c r="G128"/>
  <c r="F128"/>
  <c r="C128"/>
  <c r="D128"/>
  <c r="B159"/>
  <c r="G158"/>
  <c r="F158"/>
  <c r="C158"/>
  <c r="D158"/>
  <c r="B69" i="4"/>
  <c r="F68"/>
  <c r="C68"/>
  <c r="D68"/>
  <c r="B129"/>
  <c r="F128"/>
  <c r="C128"/>
  <c r="D128"/>
  <c r="N159" i="11"/>
  <c r="S158"/>
  <c r="R158"/>
  <c r="O158"/>
  <c r="P158"/>
  <c r="L69" i="4"/>
  <c r="P68"/>
  <c r="M68"/>
  <c r="N68"/>
  <c r="P188"/>
  <c r="L189"/>
  <c r="M188"/>
  <c r="N188"/>
  <c r="K128"/>
  <c r="G129"/>
  <c r="H128"/>
  <c r="I128"/>
  <c r="F188"/>
  <c r="B189"/>
  <c r="C188"/>
  <c r="D188"/>
  <c r="G189"/>
  <c r="K188"/>
  <c r="H188"/>
  <c r="I188"/>
  <c r="F98"/>
  <c r="B99"/>
  <c r="C98"/>
  <c r="D98"/>
  <c r="B99" i="11"/>
  <c r="F98"/>
  <c r="G98"/>
  <c r="C98"/>
  <c r="D98"/>
  <c r="G99" i="4"/>
  <c r="H98"/>
  <c r="I98"/>
  <c r="K98"/>
  <c r="L99"/>
  <c r="M98"/>
  <c r="N98"/>
  <c r="P98"/>
  <c r="M98" i="11"/>
  <c r="I98"/>
  <c r="J98"/>
  <c r="H99"/>
  <c r="L98"/>
  <c r="S98"/>
  <c r="O98"/>
  <c r="P98"/>
  <c r="N99"/>
  <c r="R98"/>
  <c r="F220"/>
  <c r="C220"/>
  <c r="G220"/>
  <c r="F220" i="4"/>
  <c r="C220"/>
  <c r="D220"/>
  <c r="E220"/>
  <c r="B34"/>
  <c r="K189"/>
  <c r="G190"/>
  <c r="H189"/>
  <c r="I189"/>
  <c r="F129" i="11"/>
  <c r="B130"/>
  <c r="G129"/>
  <c r="C129"/>
  <c r="D129"/>
  <c r="U189" i="4"/>
  <c r="Q190"/>
  <c r="R189"/>
  <c r="S189"/>
  <c r="B70" i="11"/>
  <c r="G69"/>
  <c r="F69"/>
  <c r="C69"/>
  <c r="D69"/>
  <c r="T190"/>
  <c r="Y189"/>
  <c r="X189"/>
  <c r="U189"/>
  <c r="V189"/>
  <c r="H70"/>
  <c r="M69"/>
  <c r="L69"/>
  <c r="I69"/>
  <c r="J69"/>
  <c r="N190"/>
  <c r="S189"/>
  <c r="R189"/>
  <c r="O189"/>
  <c r="P189"/>
  <c r="B190"/>
  <c r="G189"/>
  <c r="F189"/>
  <c r="C189"/>
  <c r="D189"/>
  <c r="B190" i="4"/>
  <c r="F189"/>
  <c r="C189"/>
  <c r="D189"/>
  <c r="G130"/>
  <c r="K129"/>
  <c r="H129"/>
  <c r="I129"/>
  <c r="L190"/>
  <c r="P189"/>
  <c r="M189"/>
  <c r="N189"/>
  <c r="L70"/>
  <c r="I28"/>
  <c r="P69"/>
  <c r="M69"/>
  <c r="N69"/>
  <c r="R159" i="11"/>
  <c r="S159"/>
  <c r="N160"/>
  <c r="O159"/>
  <c r="P159"/>
  <c r="F129" i="4"/>
  <c r="B130"/>
  <c r="C129"/>
  <c r="D129"/>
  <c r="B70"/>
  <c r="F69"/>
  <c r="C69"/>
  <c r="D69"/>
  <c r="F159" i="11"/>
  <c r="G159"/>
  <c r="B160"/>
  <c r="C159"/>
  <c r="D159"/>
  <c r="N70"/>
  <c r="S69"/>
  <c r="R69"/>
  <c r="O69"/>
  <c r="P69"/>
  <c r="H190"/>
  <c r="M189"/>
  <c r="L189"/>
  <c r="I189"/>
  <c r="J189"/>
  <c r="L160" i="4"/>
  <c r="F32"/>
  <c r="P159"/>
  <c r="M159"/>
  <c r="N159"/>
  <c r="G70"/>
  <c r="K69"/>
  <c r="H69"/>
  <c r="I69"/>
  <c r="B160"/>
  <c r="F159"/>
  <c r="C159"/>
  <c r="D159"/>
  <c r="G160"/>
  <c r="K159"/>
  <c r="H159"/>
  <c r="I159"/>
  <c r="L159" i="11"/>
  <c r="H160"/>
  <c r="M159"/>
  <c r="I159"/>
  <c r="J159"/>
  <c r="L129"/>
  <c r="H130"/>
  <c r="M129"/>
  <c r="I129"/>
  <c r="J129"/>
  <c r="D220"/>
  <c r="E212"/>
  <c r="N100"/>
  <c r="O99"/>
  <c r="P99"/>
  <c r="R99"/>
  <c r="S99"/>
  <c r="H100"/>
  <c r="I99"/>
  <c r="J99"/>
  <c r="L99"/>
  <c r="M99"/>
  <c r="P99" i="4"/>
  <c r="L100"/>
  <c r="M99"/>
  <c r="N99"/>
  <c r="G100"/>
  <c r="C30"/>
  <c r="H99"/>
  <c r="I99"/>
  <c r="K99"/>
  <c r="F99" i="11"/>
  <c r="G99"/>
  <c r="B100"/>
  <c r="C99"/>
  <c r="D99"/>
  <c r="F99" i="4"/>
  <c r="B100"/>
  <c r="B30"/>
  <c r="C99"/>
  <c r="D99"/>
  <c r="E216" i="11"/>
  <c r="E201"/>
  <c r="E204"/>
  <c r="E202"/>
  <c r="E220"/>
  <c r="E196"/>
  <c r="E218"/>
  <c r="E209"/>
  <c r="E210"/>
  <c r="E198"/>
  <c r="E199"/>
  <c r="M130"/>
  <c r="L130"/>
  <c r="I130"/>
  <c r="M160"/>
  <c r="L160"/>
  <c r="I160"/>
  <c r="K160" i="4"/>
  <c r="H160"/>
  <c r="I160"/>
  <c r="D32"/>
  <c r="K70"/>
  <c r="H70"/>
  <c r="I70"/>
  <c r="H28"/>
  <c r="F70"/>
  <c r="C70"/>
  <c r="D70"/>
  <c r="G28"/>
  <c r="F130"/>
  <c r="C130"/>
  <c r="D130"/>
  <c r="B31"/>
  <c r="P70"/>
  <c r="M70"/>
  <c r="N70"/>
  <c r="K130"/>
  <c r="H130"/>
  <c r="I130"/>
  <c r="D31"/>
  <c r="X190" i="11"/>
  <c r="Y190"/>
  <c r="U190"/>
  <c r="V190"/>
  <c r="W188"/>
  <c r="F70"/>
  <c r="G70"/>
  <c r="C70"/>
  <c r="K190" i="4"/>
  <c r="H190"/>
  <c r="I190"/>
  <c r="C33"/>
  <c r="F160"/>
  <c r="C160"/>
  <c r="D160"/>
  <c r="B32"/>
  <c r="P160"/>
  <c r="M160"/>
  <c r="N160"/>
  <c r="L190" i="11"/>
  <c r="M190"/>
  <c r="I190"/>
  <c r="R70"/>
  <c r="S70"/>
  <c r="O70"/>
  <c r="P70"/>
  <c r="G160"/>
  <c r="F160"/>
  <c r="C160"/>
  <c r="S160"/>
  <c r="R160"/>
  <c r="O160"/>
  <c r="P190" i="4"/>
  <c r="M190"/>
  <c r="N190"/>
  <c r="D33"/>
  <c r="F190"/>
  <c r="C190"/>
  <c r="D190"/>
  <c r="B33"/>
  <c r="F190" i="11"/>
  <c r="G190"/>
  <c r="C190"/>
  <c r="R190"/>
  <c r="S190"/>
  <c r="O190"/>
  <c r="P190"/>
  <c r="L70"/>
  <c r="M70"/>
  <c r="I70"/>
  <c r="U190" i="4"/>
  <c r="R190"/>
  <c r="S190"/>
  <c r="E33"/>
  <c r="G130" i="11"/>
  <c r="F130"/>
  <c r="C130"/>
  <c r="E213"/>
  <c r="E211"/>
  <c r="E208"/>
  <c r="E217"/>
  <c r="E206"/>
  <c r="E215"/>
  <c r="E205"/>
  <c r="E219"/>
  <c r="E200"/>
  <c r="E197"/>
  <c r="E203"/>
  <c r="E214"/>
  <c r="E207"/>
  <c r="D190"/>
  <c r="E187"/>
  <c r="D160"/>
  <c r="E157"/>
  <c r="J190"/>
  <c r="K189"/>
  <c r="J160"/>
  <c r="K159"/>
  <c r="P160"/>
  <c r="Q158"/>
  <c r="D130"/>
  <c r="E129"/>
  <c r="J130"/>
  <c r="K124"/>
  <c r="J70"/>
  <c r="K67"/>
  <c r="D70"/>
  <c r="E67"/>
  <c r="W189"/>
  <c r="W187"/>
  <c r="W185"/>
  <c r="F100" i="4"/>
  <c r="C100"/>
  <c r="D100"/>
  <c r="K100"/>
  <c r="H100"/>
  <c r="I100"/>
  <c r="M100"/>
  <c r="N100"/>
  <c r="P100"/>
  <c r="G100" i="11"/>
  <c r="C100"/>
  <c r="D100"/>
  <c r="F100"/>
  <c r="M100"/>
  <c r="I100"/>
  <c r="L100"/>
  <c r="R100"/>
  <c r="S100"/>
  <c r="O100"/>
  <c r="B26"/>
  <c r="B34"/>
  <c r="E107"/>
  <c r="E106"/>
  <c r="E108"/>
  <c r="E109"/>
  <c r="E110"/>
  <c r="E112"/>
  <c r="E113"/>
  <c r="E111"/>
  <c r="E115"/>
  <c r="E114"/>
  <c r="E117"/>
  <c r="E116"/>
  <c r="E118"/>
  <c r="E121"/>
  <c r="E119"/>
  <c r="E120"/>
  <c r="E123"/>
  <c r="E128"/>
  <c r="E126"/>
  <c r="E124"/>
  <c r="E122"/>
  <c r="E125"/>
  <c r="Q167"/>
  <c r="Q169"/>
  <c r="Q166"/>
  <c r="Q168"/>
  <c r="Q190"/>
  <c r="Q171"/>
  <c r="Q172"/>
  <c r="Q170"/>
  <c r="Q173"/>
  <c r="Q174"/>
  <c r="Q175"/>
  <c r="Q176"/>
  <c r="Q178"/>
  <c r="Q177"/>
  <c r="Q179"/>
  <c r="Q181"/>
  <c r="Q180"/>
  <c r="Q182"/>
  <c r="Q183"/>
  <c r="Q184"/>
  <c r="Q185"/>
  <c r="Q188"/>
  <c r="Q137"/>
  <c r="Q136"/>
  <c r="Q138"/>
  <c r="Q139"/>
  <c r="Q142"/>
  <c r="Q140"/>
  <c r="Q141"/>
  <c r="Q144"/>
  <c r="Q143"/>
  <c r="Q146"/>
  <c r="Q145"/>
  <c r="Q150"/>
  <c r="Q147"/>
  <c r="Q148"/>
  <c r="Q149"/>
  <c r="Q153"/>
  <c r="Q151"/>
  <c r="Q152"/>
  <c r="Q154"/>
  <c r="Q155"/>
  <c r="Q157"/>
  <c r="Q47"/>
  <c r="Q48"/>
  <c r="Q46"/>
  <c r="Q49"/>
  <c r="Q50"/>
  <c r="Q52"/>
  <c r="Q51"/>
  <c r="Q53"/>
  <c r="Q55"/>
  <c r="Q70"/>
  <c r="Q54"/>
  <c r="Q57"/>
  <c r="Q56"/>
  <c r="Q58"/>
  <c r="Q61"/>
  <c r="Q59"/>
  <c r="Q62"/>
  <c r="Q60"/>
  <c r="Q68"/>
  <c r="E185"/>
  <c r="Q66"/>
  <c r="Q187"/>
  <c r="Q189"/>
  <c r="Q159"/>
  <c r="Q67"/>
  <c r="Q65"/>
  <c r="K155"/>
  <c r="K126"/>
  <c r="E168"/>
  <c r="E167"/>
  <c r="E166"/>
  <c r="E169"/>
  <c r="E171"/>
  <c r="E170"/>
  <c r="E172"/>
  <c r="E173"/>
  <c r="E175"/>
  <c r="E174"/>
  <c r="E176"/>
  <c r="E177"/>
  <c r="E178"/>
  <c r="E179"/>
  <c r="E180"/>
  <c r="E181"/>
  <c r="E183"/>
  <c r="E182"/>
  <c r="E188"/>
  <c r="E186"/>
  <c r="E139"/>
  <c r="E138"/>
  <c r="E136"/>
  <c r="E137"/>
  <c r="E141"/>
  <c r="E140"/>
  <c r="E145"/>
  <c r="E142"/>
  <c r="E143"/>
  <c r="E146"/>
  <c r="E144"/>
  <c r="E147"/>
  <c r="E148"/>
  <c r="E149"/>
  <c r="E152"/>
  <c r="E154"/>
  <c r="E151"/>
  <c r="E150"/>
  <c r="E156"/>
  <c r="E153"/>
  <c r="E155"/>
  <c r="W167"/>
  <c r="W168"/>
  <c r="W169"/>
  <c r="W166"/>
  <c r="W190"/>
  <c r="W170"/>
  <c r="W171"/>
  <c r="W173"/>
  <c r="W174"/>
  <c r="W175"/>
  <c r="W172"/>
  <c r="W176"/>
  <c r="W177"/>
  <c r="W178"/>
  <c r="W181"/>
  <c r="W179"/>
  <c r="W180"/>
  <c r="W183"/>
  <c r="W182"/>
  <c r="W184"/>
  <c r="W186"/>
  <c r="K137"/>
  <c r="K138"/>
  <c r="K136"/>
  <c r="K139"/>
  <c r="K141"/>
  <c r="K140"/>
  <c r="K142"/>
  <c r="K143"/>
  <c r="K146"/>
  <c r="K144"/>
  <c r="K145"/>
  <c r="K147"/>
  <c r="K148"/>
  <c r="K150"/>
  <c r="K149"/>
  <c r="K151"/>
  <c r="K153"/>
  <c r="K152"/>
  <c r="K154"/>
  <c r="K157"/>
  <c r="K107"/>
  <c r="K106"/>
  <c r="K109"/>
  <c r="K111"/>
  <c r="K108"/>
  <c r="K110"/>
  <c r="K113"/>
  <c r="K112"/>
  <c r="K114"/>
  <c r="K115"/>
  <c r="K116"/>
  <c r="K118"/>
  <c r="K119"/>
  <c r="K117"/>
  <c r="K121"/>
  <c r="K120"/>
  <c r="K122"/>
  <c r="K123"/>
  <c r="K125"/>
  <c r="E158"/>
  <c r="E159"/>
  <c r="Q186"/>
  <c r="E184"/>
  <c r="E189"/>
  <c r="Q156"/>
  <c r="Q63"/>
  <c r="Q64"/>
  <c r="Q69"/>
  <c r="K156"/>
  <c r="K127"/>
  <c r="K129"/>
  <c r="E127"/>
  <c r="K182"/>
  <c r="K70"/>
  <c r="K168"/>
  <c r="E58"/>
  <c r="K160"/>
  <c r="K173"/>
  <c r="E51"/>
  <c r="K60"/>
  <c r="K47"/>
  <c r="K186"/>
  <c r="K180"/>
  <c r="K170"/>
  <c r="E66"/>
  <c r="E63"/>
  <c r="E70"/>
  <c r="E48"/>
  <c r="K185"/>
  <c r="K183"/>
  <c r="K179"/>
  <c r="K177"/>
  <c r="K172"/>
  <c r="K166"/>
  <c r="C25"/>
  <c r="E190"/>
  <c r="E62"/>
  <c r="E57"/>
  <c r="E53"/>
  <c r="E50"/>
  <c r="E47"/>
  <c r="K66"/>
  <c r="K57"/>
  <c r="K50"/>
  <c r="K130"/>
  <c r="K188"/>
  <c r="K184"/>
  <c r="K181"/>
  <c r="K178"/>
  <c r="K176"/>
  <c r="K174"/>
  <c r="K175"/>
  <c r="K171"/>
  <c r="K190"/>
  <c r="K169"/>
  <c r="K167"/>
  <c r="K187"/>
  <c r="E64"/>
  <c r="E60"/>
  <c r="E61"/>
  <c r="E59"/>
  <c r="E56"/>
  <c r="E54"/>
  <c r="E55"/>
  <c r="E52"/>
  <c r="E49"/>
  <c r="E46"/>
  <c r="G20"/>
  <c r="Q160"/>
  <c r="K69"/>
  <c r="K62"/>
  <c r="K61"/>
  <c r="K54"/>
  <c r="K52"/>
  <c r="K48"/>
  <c r="K68"/>
  <c r="E160"/>
  <c r="K64"/>
  <c r="K65"/>
  <c r="K63"/>
  <c r="K59"/>
  <c r="K58"/>
  <c r="K55"/>
  <c r="K56"/>
  <c r="K53"/>
  <c r="K51"/>
  <c r="K49"/>
  <c r="K46"/>
  <c r="H20"/>
  <c r="K158"/>
  <c r="E130"/>
  <c r="E69"/>
  <c r="K128"/>
  <c r="P100"/>
  <c r="Q96"/>
  <c r="J100"/>
  <c r="K99"/>
  <c r="E65"/>
  <c r="E68"/>
  <c r="E100"/>
  <c r="E76"/>
  <c r="E80"/>
  <c r="E77"/>
  <c r="E79"/>
  <c r="E78"/>
  <c r="E83"/>
  <c r="E81"/>
  <c r="E87"/>
  <c r="E85"/>
  <c r="E82"/>
  <c r="E86"/>
  <c r="E84"/>
  <c r="E88"/>
  <c r="E90"/>
  <c r="E98"/>
  <c r="E95"/>
  <c r="E94"/>
  <c r="E93"/>
  <c r="E99"/>
  <c r="Q100"/>
  <c r="Q76"/>
  <c r="Q77"/>
  <c r="Q79"/>
  <c r="Q78"/>
  <c r="Q83"/>
  <c r="Q80"/>
  <c r="Q86"/>
  <c r="Q81"/>
  <c r="Q82"/>
  <c r="Q84"/>
  <c r="Q88"/>
  <c r="Q85"/>
  <c r="Q87"/>
  <c r="Q90"/>
  <c r="Q89"/>
  <c r="Q98"/>
  <c r="Q95"/>
  <c r="Q92"/>
  <c r="Q93"/>
  <c r="Q91"/>
  <c r="Q97"/>
  <c r="K76"/>
  <c r="K79"/>
  <c r="K78"/>
  <c r="K77"/>
  <c r="K80"/>
  <c r="K81"/>
  <c r="K83"/>
  <c r="K82"/>
  <c r="K84"/>
  <c r="K86"/>
  <c r="K85"/>
  <c r="K87"/>
  <c r="K90"/>
  <c r="K88"/>
  <c r="K92"/>
  <c r="K94"/>
  <c r="K98"/>
  <c r="K95"/>
  <c r="K89"/>
  <c r="K93"/>
  <c r="K97"/>
  <c r="E96"/>
  <c r="Q99"/>
  <c r="K91"/>
  <c r="E92"/>
  <c r="E97"/>
  <c r="E89"/>
  <c r="E91"/>
  <c r="B32"/>
  <c r="B24"/>
  <c r="F32"/>
  <c r="F24"/>
  <c r="D23"/>
  <c r="D31"/>
  <c r="D24"/>
  <c r="D32"/>
  <c r="E33"/>
  <c r="E25"/>
  <c r="B25"/>
  <c r="B33"/>
  <c r="I28"/>
  <c r="I20"/>
  <c r="D25"/>
  <c r="D33"/>
  <c r="B31"/>
  <c r="B23"/>
  <c r="C33"/>
  <c r="G28"/>
  <c r="H28"/>
  <c r="E17" i="10"/>
  <c r="E18"/>
  <c r="K100" i="11"/>
  <c r="K96"/>
  <c r="Q94"/>
  <c r="D30"/>
  <c r="I13" i="10"/>
  <c r="E13"/>
  <c r="C30" i="11"/>
  <c r="C22"/>
  <c r="D22"/>
  <c r="B22"/>
  <c r="B30"/>
  <c r="H17" i="10"/>
  <c r="H18"/>
  <c r="H13"/>
  <c r="G13"/>
  <c r="G17"/>
  <c r="G18"/>
  <c r="E21"/>
  <c r="F17"/>
  <c r="F18"/>
  <c r="I17"/>
  <c r="I18"/>
  <c r="I21"/>
  <c r="I22"/>
  <c r="H14"/>
  <c r="H15"/>
  <c r="H19"/>
  <c r="I16"/>
  <c r="F13"/>
  <c r="I14"/>
  <c r="I15"/>
  <c r="E14"/>
  <c r="E15"/>
  <c r="E19"/>
  <c r="E22"/>
  <c r="H21"/>
  <c r="H22"/>
  <c r="F14"/>
  <c r="F15"/>
  <c r="G14"/>
  <c r="G15"/>
  <c r="G19"/>
  <c r="G21"/>
  <c r="G22"/>
  <c r="F5" i="16"/>
  <c r="F8"/>
  <c r="F10"/>
  <c r="G55"/>
  <c r="G28" i="10"/>
  <c r="G29"/>
  <c r="G30"/>
  <c r="H5" i="16"/>
  <c r="H8"/>
  <c r="H10"/>
  <c r="I55"/>
  <c r="H28" i="10"/>
  <c r="H29"/>
  <c r="H30"/>
  <c r="I19"/>
  <c r="J5" i="16"/>
  <c r="J8"/>
  <c r="J10"/>
  <c r="E28" i="10"/>
  <c r="E29"/>
  <c r="E30"/>
  <c r="B5" i="16"/>
  <c r="B8"/>
  <c r="F19" i="10"/>
  <c r="D5" i="16"/>
  <c r="D8"/>
  <c r="D10"/>
  <c r="E15"/>
  <c r="D15"/>
  <c r="F21" i="10"/>
  <c r="F22"/>
  <c r="G15" i="16"/>
  <c r="F15"/>
  <c r="E55"/>
  <c r="E16"/>
  <c r="E17"/>
  <c r="E18"/>
  <c r="E19"/>
  <c r="E20"/>
  <c r="E21"/>
  <c r="E22"/>
  <c r="E23"/>
  <c r="E24"/>
  <c r="E25"/>
  <c r="E26"/>
  <c r="E27"/>
  <c r="E28"/>
  <c r="E29"/>
  <c r="E30"/>
  <c r="E31"/>
  <c r="E32"/>
  <c r="E33"/>
  <c r="E34"/>
  <c r="E35"/>
  <c r="E36"/>
  <c r="E37"/>
  <c r="E38"/>
  <c r="E39"/>
  <c r="E40"/>
  <c r="E41"/>
  <c r="E42"/>
  <c r="E43"/>
  <c r="E44"/>
  <c r="E45"/>
  <c r="E46"/>
  <c r="E47"/>
  <c r="E48"/>
  <c r="E49"/>
  <c r="E50"/>
  <c r="E51"/>
  <c r="E52"/>
  <c r="E53"/>
  <c r="E54"/>
  <c r="F28" i="10"/>
  <c r="F29"/>
  <c r="F30"/>
  <c r="I15" i="16"/>
  <c r="H15"/>
  <c r="I28" i="10"/>
  <c r="K15" i="16"/>
  <c r="J15"/>
  <c r="K55"/>
  <c r="B10"/>
  <c r="I29" i="10"/>
  <c r="I30"/>
  <c r="G16" i="16"/>
  <c r="G17"/>
  <c r="G18"/>
  <c r="G19"/>
  <c r="G20"/>
  <c r="G21"/>
  <c r="G22"/>
  <c r="G23"/>
  <c r="G24"/>
  <c r="G25"/>
  <c r="G26"/>
  <c r="G27"/>
  <c r="G28"/>
  <c r="G29"/>
  <c r="G30"/>
  <c r="G31"/>
  <c r="G32"/>
  <c r="G33"/>
  <c r="G34"/>
  <c r="G35"/>
  <c r="G36"/>
  <c r="G37"/>
  <c r="G38"/>
  <c r="G39"/>
  <c r="G40"/>
  <c r="G41"/>
  <c r="G42"/>
  <c r="G43"/>
  <c r="G44"/>
  <c r="G45"/>
  <c r="G46"/>
  <c r="G47"/>
  <c r="G48"/>
  <c r="G49"/>
  <c r="G50"/>
  <c r="G51"/>
  <c r="G52"/>
  <c r="G53"/>
  <c r="G54"/>
  <c r="I16"/>
  <c r="I17"/>
  <c r="I18"/>
  <c r="I19"/>
  <c r="I20"/>
  <c r="I21"/>
  <c r="I22"/>
  <c r="I23"/>
  <c r="I24"/>
  <c r="I25"/>
  <c r="I26"/>
  <c r="I27"/>
  <c r="I28"/>
  <c r="I29"/>
  <c r="I30"/>
  <c r="I31"/>
  <c r="I32"/>
  <c r="I33"/>
  <c r="I34"/>
  <c r="I35"/>
  <c r="I36"/>
  <c r="I37"/>
  <c r="I38"/>
  <c r="I39"/>
  <c r="I40"/>
  <c r="I41"/>
  <c r="I42"/>
  <c r="I43"/>
  <c r="I44"/>
  <c r="I45"/>
  <c r="I46"/>
  <c r="I47"/>
  <c r="I48"/>
  <c r="I49"/>
  <c r="I50"/>
  <c r="I51"/>
  <c r="I52"/>
  <c r="I53"/>
  <c r="I54"/>
  <c r="D16"/>
  <c r="K16"/>
  <c r="K17"/>
  <c r="K18"/>
  <c r="K19"/>
  <c r="K20"/>
  <c r="K21"/>
  <c r="K22"/>
  <c r="K23"/>
  <c r="K24"/>
  <c r="K25"/>
  <c r="K26"/>
  <c r="K27"/>
  <c r="K28"/>
  <c r="K29"/>
  <c r="K30"/>
  <c r="K31"/>
  <c r="K32"/>
  <c r="K33"/>
  <c r="K34"/>
  <c r="K35"/>
  <c r="K36"/>
  <c r="K37"/>
  <c r="K38"/>
  <c r="K39"/>
  <c r="K40"/>
  <c r="K41"/>
  <c r="K42"/>
  <c r="K43"/>
  <c r="K44"/>
  <c r="K45"/>
  <c r="K46"/>
  <c r="K47"/>
  <c r="K48"/>
  <c r="K49"/>
  <c r="K50"/>
  <c r="K51"/>
  <c r="K52"/>
  <c r="K53"/>
  <c r="K54"/>
  <c r="C55"/>
  <c r="C15"/>
  <c r="D17"/>
  <c r="F16"/>
  <c r="J16"/>
  <c r="F17"/>
  <c r="H17"/>
  <c r="H16"/>
  <c r="C16"/>
  <c r="C17"/>
  <c r="C18"/>
  <c r="C19"/>
  <c r="C20"/>
  <c r="C21"/>
  <c r="C22"/>
  <c r="C23"/>
  <c r="C24"/>
  <c r="C25"/>
  <c r="C26"/>
  <c r="C27"/>
  <c r="C28"/>
  <c r="C29"/>
  <c r="C30"/>
  <c r="C31"/>
  <c r="C32"/>
  <c r="C33"/>
  <c r="C34"/>
  <c r="C35"/>
  <c r="C36"/>
  <c r="C37"/>
  <c r="C38"/>
  <c r="C39"/>
  <c r="C40"/>
  <c r="C41"/>
  <c r="C42"/>
  <c r="C43"/>
  <c r="C44"/>
  <c r="C45"/>
  <c r="C46"/>
  <c r="C47"/>
  <c r="C48"/>
  <c r="C49"/>
  <c r="C50"/>
  <c r="C51"/>
  <c r="C52"/>
  <c r="C53"/>
  <c r="C54"/>
  <c r="B15"/>
  <c r="D18"/>
  <c r="H18"/>
  <c r="F18"/>
  <c r="J17"/>
  <c r="D19"/>
  <c r="J18"/>
  <c r="F19"/>
  <c r="H19"/>
  <c r="D20"/>
  <c r="H20"/>
  <c r="F20"/>
  <c r="J19"/>
  <c r="D21"/>
  <c r="J20"/>
  <c r="F21"/>
  <c r="H21"/>
  <c r="D22"/>
  <c r="H22"/>
  <c r="F22"/>
  <c r="J21"/>
  <c r="D23"/>
  <c r="J22"/>
  <c r="F23"/>
  <c r="H23"/>
  <c r="D24"/>
  <c r="H24"/>
  <c r="F24"/>
  <c r="J23"/>
  <c r="D25"/>
  <c r="J24"/>
  <c r="F25"/>
  <c r="H25"/>
  <c r="D26"/>
  <c r="H26"/>
  <c r="F26"/>
  <c r="J25"/>
  <c r="D27"/>
  <c r="J26"/>
  <c r="F27"/>
  <c r="H27"/>
  <c r="D28"/>
  <c r="H28"/>
  <c r="F28"/>
  <c r="J27"/>
  <c r="D29"/>
  <c r="J28"/>
  <c r="F29"/>
  <c r="H29"/>
  <c r="D30"/>
  <c r="H30"/>
  <c r="F30"/>
  <c r="J29"/>
  <c r="D31"/>
  <c r="J30"/>
  <c r="F31"/>
  <c r="H31"/>
  <c r="D32"/>
  <c r="H32"/>
  <c r="F32"/>
  <c r="J31"/>
  <c r="D33"/>
  <c r="J32"/>
  <c r="F33"/>
  <c r="H33"/>
  <c r="D34"/>
  <c r="H34"/>
  <c r="F34"/>
  <c r="J33"/>
  <c r="D35"/>
  <c r="J34"/>
  <c r="F35"/>
  <c r="H35"/>
  <c r="D36"/>
  <c r="H36"/>
  <c r="F36"/>
  <c r="J35"/>
  <c r="D37"/>
  <c r="J36"/>
  <c r="F37"/>
  <c r="H37"/>
  <c r="D38"/>
  <c r="H38"/>
  <c r="F38"/>
  <c r="J37"/>
  <c r="D39"/>
  <c r="J38"/>
  <c r="F39"/>
  <c r="H39"/>
  <c r="D40"/>
  <c r="H40"/>
  <c r="F40"/>
  <c r="J39"/>
  <c r="D41"/>
  <c r="J40"/>
  <c r="F41"/>
  <c r="H41"/>
  <c r="D42"/>
  <c r="H42"/>
  <c r="F42"/>
  <c r="J41"/>
  <c r="D43"/>
  <c r="J42"/>
  <c r="F43"/>
  <c r="H43"/>
  <c r="D44"/>
  <c r="H44"/>
  <c r="F44"/>
  <c r="J43"/>
  <c r="D45"/>
  <c r="J44"/>
  <c r="F45"/>
  <c r="H45"/>
  <c r="D46"/>
  <c r="H46"/>
  <c r="F46"/>
  <c r="J45"/>
  <c r="D47"/>
  <c r="J46"/>
  <c r="F47"/>
  <c r="H47"/>
  <c r="D48"/>
  <c r="H48"/>
  <c r="F48"/>
  <c r="J47"/>
  <c r="D49"/>
  <c r="J48"/>
  <c r="F49"/>
  <c r="H49"/>
  <c r="D50"/>
  <c r="H50"/>
  <c r="F50"/>
  <c r="J49"/>
  <c r="D51"/>
  <c r="F51"/>
  <c r="H51"/>
  <c r="J50"/>
  <c r="D52"/>
  <c r="J51"/>
  <c r="H52"/>
  <c r="F52"/>
  <c r="D53"/>
  <c r="F53"/>
  <c r="H53"/>
  <c r="J52"/>
  <c r="D54"/>
  <c r="J53"/>
  <c r="H54"/>
  <c r="F54"/>
  <c r="D55"/>
  <c r="D12"/>
  <c r="F23" i="10"/>
  <c r="F55" i="16"/>
  <c r="H55"/>
  <c r="J54"/>
  <c r="F24" i="10"/>
  <c r="F25"/>
  <c r="F27"/>
  <c r="F31"/>
  <c r="H12" i="16"/>
  <c r="H23" i="10"/>
  <c r="F12" i="16"/>
  <c r="G23" i="10"/>
  <c r="B55" i="16"/>
  <c r="J55"/>
  <c r="H31" i="10"/>
  <c r="H24"/>
  <c r="H25"/>
  <c r="H27"/>
  <c r="G31"/>
  <c r="G24"/>
  <c r="G25"/>
  <c r="G27"/>
  <c r="J12" i="16"/>
  <c r="I23" i="10"/>
  <c r="I24"/>
  <c r="I25"/>
  <c r="B16" i="16"/>
  <c r="B27"/>
  <c r="B38"/>
  <c r="B20"/>
  <c r="B52"/>
  <c r="B42"/>
  <c r="B18"/>
  <c r="B34"/>
  <c r="B50"/>
  <c r="B35"/>
  <c r="B47"/>
  <c r="B45"/>
  <c r="B21"/>
  <c r="B31"/>
  <c r="B51"/>
  <c r="B28"/>
  <c r="B40"/>
  <c r="B24"/>
  <c r="B53"/>
  <c r="B46"/>
  <c r="B22"/>
  <c r="B26"/>
  <c r="B32"/>
  <c r="B36"/>
  <c r="B49"/>
  <c r="B29"/>
  <c r="B23"/>
  <c r="B39"/>
  <c r="B48"/>
  <c r="B43"/>
  <c r="B17"/>
  <c r="B41"/>
  <c r="B19"/>
  <c r="B25"/>
  <c r="B33"/>
  <c r="B30"/>
  <c r="B44"/>
  <c r="B54"/>
  <c r="B37"/>
  <c r="I26" i="10"/>
  <c r="I27"/>
  <c r="I31"/>
  <c r="B12" i="16"/>
  <c r="E23" i="10"/>
  <c r="E24"/>
  <c r="E25"/>
  <c r="E31"/>
  <c r="E26"/>
  <c r="E27"/>
</calcChain>
</file>

<file path=xl/sharedStrings.xml><?xml version="1.0" encoding="utf-8"?>
<sst xmlns="http://schemas.openxmlformats.org/spreadsheetml/2006/main" count="1606" uniqueCount="632">
  <si>
    <t>Type A</t>
  </si>
  <si>
    <t>Type B</t>
  </si>
  <si>
    <t>Type C</t>
  </si>
  <si>
    <t>Mod/Coding</t>
  </si>
  <si>
    <t>Req S/N*</t>
  </si>
  <si>
    <t>DL Bit Rate (Mbps)</t>
  </si>
  <si>
    <t>UL Bit Rate (Mbps)</t>
  </si>
  <si>
    <r>
      <t>L = 20*LOG</t>
    </r>
    <r>
      <rPr>
        <sz val="11"/>
        <color rgb="FF333333"/>
        <rFont val="Symbol"/>
        <family val="1"/>
        <charset val="2"/>
      </rPr>
      <t>(</t>
    </r>
    <r>
      <rPr>
        <sz val="11"/>
        <color rgb="FF333333"/>
        <rFont val="Arial"/>
        <family val="2"/>
      </rPr>
      <t>4</t>
    </r>
    <r>
      <rPr>
        <b/>
        <sz val="11"/>
        <color rgb="FF333333"/>
        <rFont val="Symbol"/>
        <family val="1"/>
        <charset val="2"/>
      </rPr>
      <t>p</t>
    </r>
    <r>
      <rPr>
        <sz val="11"/>
        <color rgb="FF333333"/>
        <rFont val="Arial"/>
        <family val="2"/>
      </rPr>
      <t xml:space="preserve"> d</t>
    </r>
    <r>
      <rPr>
        <vertAlign val="subscript"/>
        <sz val="11"/>
        <color rgb="FF333333"/>
        <rFont val="Arial"/>
        <family val="2"/>
      </rPr>
      <t xml:space="preserve">0 </t>
    </r>
    <r>
      <rPr>
        <sz val="11"/>
        <color rgb="FF333333"/>
        <rFont val="Arial"/>
        <family val="2"/>
      </rPr>
      <t>/</t>
    </r>
    <r>
      <rPr>
        <b/>
        <sz val="11"/>
        <color rgb="FF333333"/>
        <rFont val="Symbol"/>
        <family val="1"/>
        <charset val="2"/>
      </rPr>
      <t>l</t>
    </r>
    <r>
      <rPr>
        <sz val="11"/>
        <color rgb="FF333333"/>
        <rFont val="Arial"/>
        <family val="2"/>
      </rPr>
      <t>)+10*(a-b*hb+c/hb)*LOG(d/ d</t>
    </r>
    <r>
      <rPr>
        <vertAlign val="subscript"/>
        <sz val="11"/>
        <color rgb="FF333333"/>
        <rFont val="Arial"/>
        <family val="2"/>
      </rPr>
      <t>0</t>
    </r>
    <r>
      <rPr>
        <sz val="11"/>
        <color rgb="FF333333"/>
        <rFont val="Arial"/>
        <family val="2"/>
      </rPr>
      <t>) + 6(1+ak/hb)LOG(f/2000) - XLOG(hr/2)</t>
    </r>
  </si>
  <si>
    <t xml:space="preserve">Log-Normal Fade Margin = </t>
  </si>
  <si>
    <t xml:space="preserve">Fast Fade Margin = </t>
  </si>
  <si>
    <r>
      <t>d</t>
    </r>
    <r>
      <rPr>
        <b/>
        <vertAlign val="subscript"/>
        <sz val="11"/>
        <color theme="1"/>
        <rFont val="Calibri"/>
        <family val="2"/>
        <scheme val="minor"/>
      </rPr>
      <t>0</t>
    </r>
    <r>
      <rPr>
        <b/>
        <sz val="11"/>
        <color theme="1"/>
        <rFont val="Calibri"/>
        <family val="2"/>
        <scheme val="minor"/>
      </rPr>
      <t>=</t>
    </r>
  </si>
  <si>
    <t xml:space="preserve">Total Margin = </t>
  </si>
  <si>
    <r>
      <t>LOG(d/d</t>
    </r>
    <r>
      <rPr>
        <vertAlign val="subscript"/>
        <sz val="11"/>
        <color rgb="FF333333"/>
        <rFont val="Arial"/>
        <family val="2"/>
      </rPr>
      <t>0</t>
    </r>
    <r>
      <rPr>
        <sz val="11"/>
        <color rgb="FF333333"/>
        <rFont val="Arial"/>
        <family val="2"/>
      </rPr>
      <t>) = [LB - 20*LOG(4</t>
    </r>
    <r>
      <rPr>
        <sz val="11"/>
        <color rgb="FF333333"/>
        <rFont val="Calibri"/>
        <family val="2"/>
      </rPr>
      <t>π</t>
    </r>
    <r>
      <rPr>
        <sz val="11"/>
        <color rgb="FF333333"/>
        <rFont val="Arial"/>
        <family val="2"/>
      </rPr>
      <t xml:space="preserve"> d</t>
    </r>
    <r>
      <rPr>
        <vertAlign val="subscript"/>
        <sz val="11"/>
        <color rgb="FF333333"/>
        <rFont val="Arial"/>
        <family val="2"/>
      </rPr>
      <t>0</t>
    </r>
    <r>
      <rPr>
        <sz val="11"/>
        <color rgb="FF333333"/>
        <rFont val="Arial"/>
        <family val="2"/>
      </rPr>
      <t xml:space="preserve"> /</t>
    </r>
    <r>
      <rPr>
        <sz val="11"/>
        <color rgb="FF333333"/>
        <rFont val="Calibri"/>
        <family val="2"/>
      </rPr>
      <t>λ</t>
    </r>
    <r>
      <rPr>
        <sz val="11"/>
        <color rgb="FF333333"/>
        <rFont val="Arial"/>
        <family val="2"/>
      </rPr>
      <t>) - 6(1+ak/hb)LOG(f/2000)+XLOG(hr/2)]/[10*(a-b*hb+c/hb)]</t>
    </r>
  </si>
  <si>
    <t>Freq (MHz)=</t>
  </si>
  <si>
    <t>meters</t>
  </si>
  <si>
    <t>k=</t>
  </si>
  <si>
    <t>Wavelength in meters =</t>
  </si>
  <si>
    <t>dB/decade =</t>
  </si>
  <si>
    <t>BS Antenna (hb in m)=</t>
  </si>
  <si>
    <t>a=</t>
  </si>
  <si>
    <t>X=</t>
  </si>
  <si>
    <t>SS Antenna (hr in m)=</t>
  </si>
  <si>
    <t>Link Budget</t>
  </si>
  <si>
    <t>Path Loss Model</t>
  </si>
  <si>
    <t>Outdoor</t>
  </si>
  <si>
    <t>Range in km</t>
  </si>
  <si>
    <r>
      <t>d = d</t>
    </r>
    <r>
      <rPr>
        <vertAlign val="subscript"/>
        <sz val="11"/>
        <color theme="1"/>
        <rFont val="Arial"/>
        <family val="2"/>
      </rPr>
      <t xml:space="preserve">0  </t>
    </r>
    <r>
      <rPr>
        <sz val="11"/>
        <color theme="1"/>
        <rFont val="Arial"/>
        <family val="2"/>
      </rPr>
      <t>10</t>
    </r>
    <r>
      <rPr>
        <vertAlign val="superscript"/>
        <sz val="11"/>
        <color theme="1"/>
        <rFont val="Arial"/>
        <family val="2"/>
      </rPr>
      <t>LOG(d/d0)</t>
    </r>
  </si>
  <si>
    <r>
      <t>Loss at d</t>
    </r>
    <r>
      <rPr>
        <b/>
        <vertAlign val="subscript"/>
        <sz val="11"/>
        <color theme="1"/>
        <rFont val="Calibri"/>
        <family val="2"/>
        <scheme val="minor"/>
      </rPr>
      <t>o</t>
    </r>
  </si>
  <si>
    <t>Erceg-SUI Model Modified</t>
  </si>
  <si>
    <t>Valid from 700 MHz to 6000 MHz</t>
  </si>
  <si>
    <t>Hata-Okumura</t>
  </si>
  <si>
    <t>Hata-Okumura Model</t>
  </si>
  <si>
    <t>Lu = 69.55 + 26.16LOG(f) - 13.82*LOG(hb) - a(hr) + [44.9 - 6.55LOG(hb)]LOG(d)</t>
  </si>
  <si>
    <r>
      <t>a(hr) =  3.2[LOG(11.75hr)]</t>
    </r>
    <r>
      <rPr>
        <vertAlign val="superscript"/>
        <sz val="11"/>
        <color theme="1"/>
        <rFont val="Arial"/>
        <family val="2"/>
      </rPr>
      <t>2</t>
    </r>
    <r>
      <rPr>
        <sz val="11"/>
        <color theme="1"/>
        <rFont val="Arial"/>
        <family val="2"/>
      </rPr>
      <t xml:space="preserve"> - 4.97 ,       for 200 &lt; f &lt;/= 1500 MHz   for Large city</t>
    </r>
  </si>
  <si>
    <r>
      <t>Lsu = Lu - 2*[LOG(f/28)]</t>
    </r>
    <r>
      <rPr>
        <vertAlign val="superscript"/>
        <sz val="11"/>
        <color theme="1"/>
        <rFont val="Arial"/>
        <family val="2"/>
      </rPr>
      <t xml:space="preserve">2 </t>
    </r>
    <r>
      <rPr>
        <sz val="11"/>
        <color theme="1"/>
        <rFont val="Arial"/>
        <family val="2"/>
      </rPr>
      <t>- 5.4</t>
    </r>
  </si>
  <si>
    <t>Urban</t>
  </si>
  <si>
    <t>Suburban</t>
  </si>
  <si>
    <t>Valid from 150 MHz to 1500 MHz</t>
  </si>
  <si>
    <r>
      <t xml:space="preserve">d = </t>
    </r>
    <r>
      <rPr>
        <sz val="11"/>
        <color theme="1"/>
        <rFont val="Arial"/>
        <family val="2"/>
      </rPr>
      <t>10</t>
    </r>
    <r>
      <rPr>
        <vertAlign val="superscript"/>
        <sz val="11"/>
        <color theme="1"/>
        <rFont val="Arial"/>
        <family val="2"/>
      </rPr>
      <t>LOG(d)</t>
    </r>
  </si>
  <si>
    <t xml:space="preserve">a(hr) = </t>
  </si>
  <si>
    <r>
      <t>2*[LOG(f/28)]</t>
    </r>
    <r>
      <rPr>
        <b/>
        <vertAlign val="superscript"/>
        <sz val="11"/>
        <color theme="1"/>
        <rFont val="Calibri"/>
        <family val="2"/>
      </rPr>
      <t xml:space="preserve">2 </t>
    </r>
    <r>
      <rPr>
        <b/>
        <sz val="11"/>
        <color theme="1"/>
        <rFont val="Calibri"/>
        <family val="2"/>
      </rPr>
      <t>+ 5.4 =</t>
    </r>
  </si>
  <si>
    <t>a(hr) = (1.1LOG(f)-0.7)hr - (1.56LOG(f)-0.8)    for Small to Medium size city</t>
  </si>
  <si>
    <t>Urban Large City</t>
  </si>
  <si>
    <t>Urban Small City</t>
  </si>
  <si>
    <t>WINNER II Model</t>
  </si>
  <si>
    <t>Valid from 2000 MHz to 6000 MHz</t>
  </si>
  <si>
    <t>C1 Suburban Macrocell N-LoS:  LOG(d) = [LB - 31.46 - 5.83LOG(hb) - 23LOG(f/5)]/[44.9-6.55LOG(hb)]</t>
  </si>
  <si>
    <t>C2 Urban Macrocell N-LoS:        L = [44.9 - 6.55LOG(hb)]LOG(d) + 34.46 + 5.83LOG(hb) + 23LOG(f/5)</t>
  </si>
  <si>
    <t>C1 Suburban Macrocell N-LoS:  L = [44.9 - 6.55LOG(hb)]LOG(d) + 31.46 + 5.83LOG(hb) + 23LOG(f/5)</t>
  </si>
  <si>
    <t>D1 Rural Macrocell N-LoS:         L = 25.1 LOG(d) + 55.4 - 0.13 LOG(hb-25) LOG(d/100) - 0.9 LOG(hr-1.5) + 21.3 LOG(f/5)</t>
  </si>
  <si>
    <t>C2 Urban Macrocell N-LoS:        LOG(d) = [LB - 34.46 - 5.83LOG(hb) - 23LOG(f/5)]/[44.9-6.55LOG(hb)]</t>
  </si>
  <si>
    <t>d in meters, f in GHz</t>
  </si>
  <si>
    <t>COST231 - Hata</t>
  </si>
  <si>
    <t>Valid from 1500 MHz to 2000 MHz</t>
  </si>
  <si>
    <t xml:space="preserve">a(hr) = [1.1LOG(f)-0.7]*hr - [1.56*LOG(f)-0.8]             and C = 0 dB for Suburban
</t>
  </si>
  <si>
    <t>a(hr) =</t>
  </si>
  <si>
    <t xml:space="preserve">L = 46.3 + 33.9LOG(f) - 13.82LOG(hb) - a(hr) +  [44.9-6.55LOG(hb)]*LOG(d) + C  </t>
  </si>
  <si>
    <t>LOG(d) =[ LB - 46.3 - 33.9LOG(f) + 13.82LOG(hb) + a(hr)  - C ]/[44.9-6.55LOG(hb)]</t>
  </si>
  <si>
    <t>WINNER II</t>
  </si>
  <si>
    <t>Small City Urban</t>
  </si>
  <si>
    <t>Large City Urban</t>
  </si>
  <si>
    <t>Frequency =</t>
  </si>
  <si>
    <t>System Gain =</t>
  </si>
  <si>
    <t>BS Antenna Height =</t>
  </si>
  <si>
    <t>SS Antenna Height =</t>
  </si>
  <si>
    <t>MHz</t>
  </si>
  <si>
    <t>dB</t>
  </si>
  <si>
    <t>Re-Use Factor =</t>
  </si>
  <si>
    <t>System Gain</t>
  </si>
  <si>
    <t>2000-6000</t>
  </si>
  <si>
    <t>700-6000</t>
  </si>
  <si>
    <t>1500-2000</t>
  </si>
  <si>
    <t>COST231-Hata</t>
  </si>
  <si>
    <t>200-1500</t>
  </si>
  <si>
    <t xml:space="preserve">Terminal (SS) Location is </t>
  </si>
  <si>
    <t>Rural</t>
  </si>
  <si>
    <t>Rural Open</t>
  </si>
  <si>
    <t>0.13 LOG(hb-25) =</t>
  </si>
  <si>
    <t>Indoor-Res</t>
  </si>
  <si>
    <t>Indoor-Basement</t>
  </si>
  <si>
    <t>Indoor-Vault</t>
  </si>
  <si>
    <t>Indoor-Bus</t>
  </si>
  <si>
    <t>Vehicle</t>
  </si>
  <si>
    <t>Estimated Range (D in km)</t>
  </si>
  <si>
    <t>Urban:       LOG(d) = [LB - 69.55 - 26.16LOG(f) + 13.82*LOG(hb) + a(hr) ]/ [44.9 - 6.55LOG(hb)]</t>
  </si>
  <si>
    <r>
      <t>Suburban: LOG(d) = [LB - 69.55 - 26.16LOG(f) +13.82*LOG(hb) + a(hr) + (2*[LOG(f/28)]</t>
    </r>
    <r>
      <rPr>
        <vertAlign val="superscript"/>
        <sz val="11"/>
        <color theme="1"/>
        <rFont val="Arial"/>
        <family val="2"/>
      </rPr>
      <t xml:space="preserve">2 </t>
    </r>
    <r>
      <rPr>
        <sz val="11"/>
        <color theme="1"/>
        <rFont val="Arial"/>
        <family val="2"/>
      </rPr>
      <t>+5.4)]/ [44.9 - 6.55LOG(hb)]</t>
    </r>
  </si>
  <si>
    <t>D1 Rural Macrocell N-LoS:         LOG(d) = [LB- 55.4 + 0.9 LOG(hr-1.5) - 21.3 LOG(f/5) - 0.13LOG(hb-25)LOG(100)]</t>
  </si>
  <si>
    <t xml:space="preserve">ITU-R M.2135-1 N-LoS </t>
  </si>
  <si>
    <r>
      <t>L = 161.04 – 7.1 LOG (W) + 7.5 LOG (h) - (24.37 - 3.7(h/hb)</t>
    </r>
    <r>
      <rPr>
        <vertAlign val="superscript"/>
        <sz val="11"/>
        <color theme="1"/>
        <rFont val="Arial"/>
        <family val="2"/>
      </rPr>
      <t>2</t>
    </r>
    <r>
      <rPr>
        <sz val="11"/>
        <color theme="1"/>
        <rFont val="Arial"/>
        <family val="2"/>
      </rPr>
      <t>)LOG(hb) + (43.42 - 3.1LOG(hb))*(LOG(d) - 3) + 20LOG(f) - (3.2(LOG(11.75 hr))</t>
    </r>
    <r>
      <rPr>
        <vertAlign val="superscript"/>
        <sz val="11"/>
        <color theme="1"/>
        <rFont val="Arial"/>
        <family val="2"/>
      </rPr>
      <t xml:space="preserve">2 </t>
    </r>
    <r>
      <rPr>
        <sz val="11"/>
        <color theme="1"/>
        <rFont val="Arial"/>
        <family val="2"/>
      </rPr>
      <t>-4.97)</t>
    </r>
  </si>
  <si>
    <t>Avg Building Height (h) =</t>
  </si>
  <si>
    <t>Avg Road Width (W) =</t>
  </si>
  <si>
    <t>Avg Building Height (h in meters) =</t>
  </si>
  <si>
    <t>Avg Road Width (W in meters) =</t>
  </si>
  <si>
    <t>Bldg Height &amp; Road width required for ITU-R 2135-1 Path Loss Model</t>
  </si>
  <si>
    <t xml:space="preserve">Link Budget = </t>
  </si>
  <si>
    <t>d</t>
  </si>
  <si>
    <t>Relative SnR in dB</t>
  </si>
  <si>
    <t>Rel Coverage Area</t>
  </si>
  <si>
    <t>ITU-R M.2135-1</t>
  </si>
  <si>
    <t>Applicable Freq Range</t>
  </si>
  <si>
    <t>Erceg-SUI -Modified</t>
  </si>
  <si>
    <t>Erceg-SUI-Original</t>
  </si>
  <si>
    <t>1800-2700</t>
  </si>
  <si>
    <t>Erceg-SUI Model Original</t>
  </si>
  <si>
    <t>Valid from 1800 MHz to 2700 MHz</t>
  </si>
  <si>
    <t>Frequency</t>
  </si>
  <si>
    <t>Frequency Re-Use Factor =</t>
  </si>
  <si>
    <t>PL Distance dependancy =</t>
  </si>
  <si>
    <t xml:space="preserve">PL Frequency Dependance = </t>
  </si>
  <si>
    <t>dB/Octave =</t>
  </si>
  <si>
    <t>Excess Loss frequency dependancy (dB per Octave)</t>
  </si>
  <si>
    <t>Margin</t>
  </si>
  <si>
    <r>
      <t>a(hr) = 3.2[LOG(11.75hr)]</t>
    </r>
    <r>
      <rPr>
        <vertAlign val="superscript"/>
        <sz val="11"/>
        <color theme="1"/>
        <rFont val="Arial"/>
        <family val="2"/>
      </rPr>
      <t>2</t>
    </r>
    <r>
      <rPr>
        <sz val="11"/>
        <color theme="1"/>
        <rFont val="Arial"/>
        <family val="2"/>
      </rPr>
      <t xml:space="preserve"> - 4.97       and C = 3 dB for Urban
</t>
    </r>
  </si>
  <si>
    <t>UL Channel Capacity Mbps</t>
  </si>
  <si>
    <t>dB/Decade</t>
  </si>
  <si>
    <t>Base Station Transmitter</t>
  </si>
  <si>
    <t>Terminal (SS) Transmitter</t>
  </si>
  <si>
    <t>Number of Tx Antenna Elements</t>
  </si>
  <si>
    <t>Tx Antenna Gain (dBi)</t>
  </si>
  <si>
    <t>Tx EIRP (dBm)</t>
  </si>
  <si>
    <t>Terminal (SS) Receiver</t>
  </si>
  <si>
    <t>Base Station Receiver</t>
  </si>
  <si>
    <t>Rx Antenna Gain (dBi)</t>
  </si>
  <si>
    <t>Number of Rx Antennas</t>
  </si>
  <si>
    <t>Rx Antenna Diversity Gain (dB)</t>
  </si>
  <si>
    <t>Thermal Noise (dBm/Hz)</t>
  </si>
  <si>
    <t>Rx Noise Figure (dB)</t>
  </si>
  <si>
    <t>Thermal Noise Floor (dBm)</t>
  </si>
  <si>
    <t>Rx Sensitivity (dBm)</t>
  </si>
  <si>
    <t>DL System Gain (dB)</t>
  </si>
  <si>
    <t>UL System Gain (dB)</t>
  </si>
  <si>
    <t>Tx Amplifier Power per Antenna Element (watts)</t>
  </si>
  <si>
    <t>Traffic Channel/ Subchannel</t>
  </si>
  <si>
    <t>Channel/Sub-Channel BW (MHz)</t>
  </si>
  <si>
    <t>Control Channel/ Subchannel</t>
  </si>
  <si>
    <r>
      <t>SystGain</t>
    </r>
    <r>
      <rPr>
        <b/>
        <i/>
        <vertAlign val="subscript"/>
        <sz val="12"/>
        <color theme="1"/>
        <rFont val="Arial"/>
        <family val="2"/>
      </rPr>
      <t>dB</t>
    </r>
    <r>
      <rPr>
        <b/>
        <i/>
        <sz val="12"/>
        <color theme="1"/>
        <rFont val="Arial"/>
        <family val="2"/>
      </rPr>
      <t xml:space="preserve"> =  Tx Pwr</t>
    </r>
    <r>
      <rPr>
        <b/>
        <i/>
        <vertAlign val="subscript"/>
        <sz val="12"/>
        <color theme="1"/>
        <rFont val="Arial"/>
        <family val="2"/>
      </rPr>
      <t>dBm</t>
    </r>
    <r>
      <rPr>
        <b/>
        <i/>
        <sz val="12"/>
        <color theme="1"/>
        <rFont val="Arial"/>
        <family val="2"/>
      </rPr>
      <t xml:space="preserve"> + Tx Antenna Gain</t>
    </r>
    <r>
      <rPr>
        <b/>
        <i/>
        <vertAlign val="subscript"/>
        <sz val="12"/>
        <color theme="1"/>
        <rFont val="Arial"/>
        <family val="2"/>
      </rPr>
      <t>dBi</t>
    </r>
    <r>
      <rPr>
        <b/>
        <i/>
        <sz val="12"/>
        <color theme="1"/>
        <rFont val="Arial"/>
        <family val="2"/>
      </rPr>
      <t xml:space="preserve"> + Rx Antenna Gain</t>
    </r>
    <r>
      <rPr>
        <b/>
        <i/>
        <vertAlign val="subscript"/>
        <sz val="12"/>
        <color theme="1"/>
        <rFont val="Arial"/>
        <family val="2"/>
      </rPr>
      <t xml:space="preserve">dBi </t>
    </r>
    <r>
      <rPr>
        <b/>
        <i/>
        <sz val="12"/>
        <color theme="1"/>
        <rFont val="Arial"/>
        <family val="2"/>
      </rPr>
      <t>- Rcvr Sensitivity</t>
    </r>
    <r>
      <rPr>
        <b/>
        <i/>
        <vertAlign val="subscript"/>
        <sz val="12"/>
        <color theme="1"/>
        <rFont val="Arial"/>
        <family val="2"/>
      </rPr>
      <t>dBm</t>
    </r>
  </si>
  <si>
    <t>Antenna Combining Gain (dB)</t>
  </si>
  <si>
    <t>Typ Antenna Gain (dBi)</t>
  </si>
  <si>
    <t>Typ Tx Pwr (Watts)</t>
  </si>
  <si>
    <t>Mobile Handheld Device</t>
  </si>
  <si>
    <t>Revision</t>
  </si>
  <si>
    <t>Date</t>
  </si>
  <si>
    <t xml:space="preserve">Description </t>
  </si>
  <si>
    <t>v1.4</t>
  </si>
  <si>
    <t>Antenna gain limited by size constraints, Tx power limited by battery/power consumption</t>
  </si>
  <si>
    <t>Comments</t>
  </si>
  <si>
    <t>Total Path Loss distance dependancy (dB per Decade)</t>
  </si>
  <si>
    <t>Worksheet #3: Completed calculations for WINNER II &amp; COST231 models</t>
  </si>
  <si>
    <t>Worksheet #1: Added SG application table</t>
  </si>
  <si>
    <t>Channel BW in MHz =</t>
  </si>
  <si>
    <t>Mod Eff</t>
  </si>
  <si>
    <t>Coding</t>
  </si>
  <si>
    <t xml:space="preserve">Self-Interference Margin = </t>
  </si>
  <si>
    <t>Inter-0perator Interference Margin =</t>
  </si>
  <si>
    <t>Inter-Operator Interference Mgn =</t>
  </si>
  <si>
    <t>Worksheet #3: Changed data vs SnR table to cover only modulation efficiency and code rate - eliminates MAC OH &amp; makes it more generic rather than technology-specific</t>
  </si>
  <si>
    <t>Revised by</t>
  </si>
  <si>
    <t>dg</t>
  </si>
  <si>
    <t>v1.5</t>
  </si>
  <si>
    <r>
      <t>LOG(d) = [LB - 161.04 +7.1 LOG (W) - 7.5 LOG (h) + (24.37 - 3.7(h/hb)</t>
    </r>
    <r>
      <rPr>
        <vertAlign val="superscript"/>
        <sz val="11"/>
        <color theme="1"/>
        <rFont val="Arial"/>
        <family val="2"/>
      </rPr>
      <t>2</t>
    </r>
    <r>
      <rPr>
        <sz val="11"/>
        <color theme="1"/>
        <rFont val="Arial"/>
        <family val="2"/>
      </rPr>
      <t>)LOG(hb) + 3(43.42 - 3.1LOG(hb)) - 20LOG(f) + (3.2(LOG(11.75 hr))</t>
    </r>
    <r>
      <rPr>
        <vertAlign val="superscript"/>
        <sz val="11"/>
        <color theme="1"/>
        <rFont val="Arial"/>
        <family val="2"/>
      </rPr>
      <t xml:space="preserve">2 </t>
    </r>
    <r>
      <rPr>
        <sz val="11"/>
        <color theme="1"/>
        <rFont val="Arial"/>
        <family val="2"/>
      </rPr>
      <t>- 4.97)]/[43.42-3.1LOG(hb)]</t>
    </r>
  </si>
  <si>
    <t xml:space="preserve">k = </t>
  </si>
  <si>
    <t>Worksheet #2: Corrected an error in ITU-R M.2135-1 calculation</t>
  </si>
  <si>
    <t>DL SE</t>
  </si>
  <si>
    <t>UL SE</t>
  </si>
  <si>
    <t>Parameter for Mod Erceg-SUI</t>
  </si>
  <si>
    <t>Worksheet #2: Added capability to enter alternative values for k for Mod Erceg-SUI model</t>
  </si>
  <si>
    <t>v1.6</t>
  </si>
  <si>
    <t>Added usage warnings</t>
  </si>
  <si>
    <t>Note: This is still work in process and under review by the PAP2 SDO-Sub-committee, inserted AT parameter values are for example purposes only</t>
  </si>
  <si>
    <t>Note: This is still work in process and under review by the PAP2 SDO-Sub-committee - parameter values are for study purposes only</t>
  </si>
  <si>
    <t>BS-to-BS Spacing =</t>
  </si>
  <si>
    <t>km</t>
  </si>
  <si>
    <t>(Note: Excludes MAC and control OH)</t>
  </si>
  <si>
    <t xml:space="preserve">UL Cell Data Rate in Mbps at BS-to-BS Spacing = </t>
  </si>
  <si>
    <t xml:space="preserve">UL Channel/Sector Data Rate at Maximum Range D in Mbps </t>
  </si>
  <si>
    <t>v1.7</t>
  </si>
  <si>
    <t>Worksheet #3: Added capabilty to estimate cell capacity at a specified BS-to-BS spacing</t>
  </si>
  <si>
    <t>Added Worksheet 3a to calculate channel and cell spectral effiency rather than data rate - for data thruput SE value would have to be multiplied by (1-OH) &amp; Channel BW</t>
  </si>
  <si>
    <t>Deployment Region</t>
  </si>
  <si>
    <t>Range projection =</t>
  </si>
  <si>
    <t>Erceg-SUI-Modified</t>
  </si>
  <si>
    <t>Link Budget =</t>
  </si>
  <si>
    <t>n/a</t>
  </si>
  <si>
    <t>BS Antenna Gain dBi</t>
  </si>
  <si>
    <t>Number of Base Station Tx Antennas</t>
  </si>
  <si>
    <t>Number of Base Station Rx Antennas</t>
  </si>
  <si>
    <t>Base Station Rx Noise Figure dB</t>
  </si>
  <si>
    <t>Number of Terminal/(SS) Tx Antennnas</t>
  </si>
  <si>
    <t>Number of Terminal/(SS) Rx Antennnas</t>
  </si>
  <si>
    <t>Terminal (SS) Antennna Gain dBi</t>
  </si>
  <si>
    <t>Terminal (SS) Rx Noise Figure dB</t>
  </si>
  <si>
    <t>v1.8</t>
  </si>
  <si>
    <t>8-10</t>
  </si>
  <si>
    <t>1-2</t>
  </si>
  <si>
    <t>Min SysGain (UL/DL/Control) for Range Calc</t>
  </si>
  <si>
    <t>Mbps</t>
  </si>
  <si>
    <t>sq-km</t>
  </si>
  <si>
    <t>Cost231-Hata</t>
  </si>
  <si>
    <t>Units</t>
  </si>
  <si>
    <t>Frequency in MHz</t>
  </si>
  <si>
    <t>Required Cell Edge Spectral Efficiency (bps/Hz)</t>
  </si>
  <si>
    <t>1 mi =</t>
  </si>
  <si>
    <t>1 Acre =</t>
  </si>
  <si>
    <t>m</t>
  </si>
  <si>
    <t>Urban Small City Bldg Height</t>
  </si>
  <si>
    <t>Urban Large City Bldg Height</t>
  </si>
  <si>
    <t>Suburban Bldg Height</t>
  </si>
  <si>
    <t>Rural Bldg Height</t>
  </si>
  <si>
    <t>Required DL Cell Edge Chan Data Rate (Mbps)</t>
  </si>
  <si>
    <t>Required UL Cell Edge Chan Data Rate (Mbps)</t>
  </si>
  <si>
    <t>700-6000 MHz</t>
  </si>
  <si>
    <t>200-1500 MHz</t>
  </si>
  <si>
    <t>1500-2000 MHz</t>
  </si>
  <si>
    <t>2000-6000 MHz</t>
  </si>
  <si>
    <t>Urban Large City Road Width</t>
  </si>
  <si>
    <t>Urban Small City Road Width</t>
  </si>
  <si>
    <t>Suburban Road Width</t>
  </si>
  <si>
    <t>Rural Road Width</t>
  </si>
  <si>
    <t>450-6000 MHz</t>
  </si>
  <si>
    <t>Valid from 450 MHz to 6000 MHz for Rural, 2000 MHz to 6000 MHz for Urban &amp; Suburban</t>
  </si>
  <si>
    <t>ITU-R M.2135-1 N-LoS Urban Micro-Cell</t>
  </si>
  <si>
    <t>L = 22.7 +36.7LOG(d) + 26LOG(f)</t>
  </si>
  <si>
    <t>LOG(d) = [LB - 22.7 - 26LOG(f)]/36.7</t>
  </si>
  <si>
    <t>Urban Micro-Cell</t>
  </si>
  <si>
    <t>ITU-R M.2135-1 Urban Micro-Cell</t>
  </si>
  <si>
    <t>Worksheet 2: Added ITU-R M.2135 Urban Micro-Cell PL Model for range calculation</t>
  </si>
  <si>
    <t>SS Cable Losses (if applicable) dB</t>
  </si>
  <si>
    <t>Notes:</t>
  </si>
  <si>
    <t>Added Sheet 1a for data density calculations also consolidated input data to two sheets, 1 and 1a (except for inter-operator interference)</t>
  </si>
  <si>
    <t>These numbers based on NTIA document</t>
  </si>
  <si>
    <t>Input or select entries for cells highlighted in yellow</t>
  </si>
  <si>
    <t xml:space="preserve">Note: This is still work in process and under review by the PAP2 SDO-Sub-committee </t>
  </si>
  <si>
    <t>1. Valid from 450 to 6000 for Rural</t>
  </si>
  <si>
    <t>bps/Hz/sq-km</t>
  </si>
  <si>
    <t>Coverage Area per Cell at Required BS-to-BS Spacing =</t>
  </si>
  <si>
    <t>Range for Required UL Data Density =</t>
  </si>
  <si>
    <t>bps/Hz/cell</t>
  </si>
  <si>
    <t xml:space="preserve">Range for Required UL SE Density= </t>
  </si>
  <si>
    <t>UL Cell SE Density at Maximum Range D in bps/Hz/sq-km</t>
  </si>
  <si>
    <r>
      <t>ITU-R M.2135-1</t>
    </r>
    <r>
      <rPr>
        <b/>
        <vertAlign val="superscript"/>
        <sz val="11"/>
        <color theme="1"/>
        <rFont val="Calibri"/>
        <family val="2"/>
        <scheme val="minor"/>
      </rPr>
      <t>4</t>
    </r>
  </si>
  <si>
    <t xml:space="preserve">1. Cell coverage area assumes hexagonal shape </t>
  </si>
  <si>
    <r>
      <t>Cell Coverage Area at Maximum Range</t>
    </r>
    <r>
      <rPr>
        <vertAlign val="superscript"/>
        <sz val="11"/>
        <color theme="1"/>
        <rFont val="Calibri"/>
        <family val="2"/>
        <scheme val="minor"/>
      </rPr>
      <t>1</t>
    </r>
    <r>
      <rPr>
        <sz val="11"/>
        <color theme="1"/>
        <rFont val="Calibri"/>
        <family val="2"/>
        <scheme val="minor"/>
      </rPr>
      <t xml:space="preserve"> =</t>
    </r>
  </si>
  <si>
    <t>Worksheet #1: Added columns for varied SG applications and system gains</t>
  </si>
  <si>
    <t>Found and fixed several bugs</t>
  </si>
  <si>
    <t>Added range calculation for ITU-R M.2135 Urban Micro-Cell Model for Manhattan-type grid layout -  supports 10 m antenna heights for urban micro-cell</t>
  </si>
  <si>
    <t>Added expanatory notes on Sheet 1a</t>
  </si>
  <si>
    <t>Footnotes:</t>
  </si>
  <si>
    <t>1 km =</t>
  </si>
  <si>
    <t>mi</t>
  </si>
  <si>
    <t>v1.9</t>
  </si>
  <si>
    <t xml:space="preserve">Converted to a hexagonal cell shape  &amp; corrected area calculation &amp; some other errors on sheet 1a </t>
  </si>
  <si>
    <t>Added provision on sheet 1a to enter BS-to-BS spacing individually for each path loss model</t>
  </si>
  <si>
    <t>Added some additional useful metrics, such as net spectral efficiency and UL spectrum requirements, also added some footnotes on sheet 1a to clarify output data</t>
  </si>
  <si>
    <t>v2.0</t>
  </si>
  <si>
    <t>Modified sheet 1a to enable entry for "Required UL Data Density" and provide output indicating the necessary BS-to-BS spacing to achieved the desired data density.</t>
  </si>
  <si>
    <t>v2.1</t>
  </si>
  <si>
    <t>Corrected note related to ITU Urban Micro-cell SS antenna height</t>
  </si>
  <si>
    <t>MAC and Control Channel OH =</t>
  </si>
  <si>
    <t>Sheet 3: Adjusted data rates to include OH factor - note: this sheet is not used for calulations on sheet 1a, but it does provide some useful plots.</t>
  </si>
  <si>
    <r>
      <t>Typical Std Dev (</t>
    </r>
    <r>
      <rPr>
        <b/>
        <sz val="11"/>
        <color theme="1"/>
        <rFont val="Calibri"/>
        <family val="2"/>
      </rPr>
      <t>σ)</t>
    </r>
    <r>
      <rPr>
        <b/>
        <sz val="11"/>
        <color theme="1"/>
        <rFont val="Calibri"/>
        <family val="2"/>
        <scheme val="minor"/>
      </rPr>
      <t xml:space="preserve"> for PL Model</t>
    </r>
  </si>
  <si>
    <t>Required Cell Edge Availability =</t>
  </si>
  <si>
    <t>Fm at D</t>
  </si>
  <si>
    <t>σ =</t>
  </si>
  <si>
    <t>Fm/σ =</t>
  </si>
  <si>
    <t>Avail @ D</t>
  </si>
  <si>
    <t>Sheet 1a-SG Input Data:  Addded capability to enter required Cell-Edge Availability, range 80% to 99%</t>
  </si>
  <si>
    <t>Path Loss Exponent (n) as in 10nLog(d/do)</t>
  </si>
  <si>
    <t>(for 3-sector cell)</t>
  </si>
  <si>
    <t>Cell-Edge % =</t>
  </si>
  <si>
    <t>Enter values in cells highlighed in yellow - ultimately Sys Gain and cell-edge SNR will transfer from Worksheet 1</t>
  </si>
  <si>
    <t>Sheet 3a: Found and corrected a calculation error for distance dependancy calculation</t>
  </si>
  <si>
    <t>Example</t>
  </si>
  <si>
    <t>v2.2</t>
  </si>
  <si>
    <t>(Lowest of DL/UL/Control) System Gain =</t>
  </si>
  <si>
    <t>Operating Frequency Band =</t>
  </si>
  <si>
    <t>6. Assumes 3-Sector base station, rounded up to next whole number</t>
  </si>
  <si>
    <t>Potential Smart Grid Terminal Type (SG Actor)</t>
  </si>
  <si>
    <t>Update nomenclature to be more consistent with SG SRS</t>
  </si>
  <si>
    <t xml:space="preserve">Terminal (Actor) Location is </t>
  </si>
  <si>
    <t>Terminal (Actor) Antenna Height =</t>
  </si>
  <si>
    <t>Base Station Antenna Height =</t>
  </si>
  <si>
    <t>A number of minor edits</t>
  </si>
  <si>
    <t>Vehicular Installed Mobile Terminal</t>
  </si>
  <si>
    <t>Fixed Indoor Self-Installed Terminal</t>
  </si>
  <si>
    <t>Wireless-Enabled Smart Meter</t>
  </si>
  <si>
    <t>0.1 to 0.2</t>
  </si>
  <si>
    <t>2 to 10</t>
  </si>
  <si>
    <t>0.0 to 1.0</t>
  </si>
  <si>
    <t>0.45 to 2.0</t>
  </si>
  <si>
    <t>EIRP (dBm)</t>
  </si>
  <si>
    <t>19 to 22</t>
  </si>
  <si>
    <t>0.05 to 2.0</t>
  </si>
  <si>
    <t>17 to 34</t>
  </si>
  <si>
    <t>32 to 38</t>
  </si>
  <si>
    <t>28 to 30</t>
  </si>
  <si>
    <t>24 to 29</t>
  </si>
  <si>
    <t>44 to 57</t>
  </si>
  <si>
    <t>Feeder Line Device</t>
  </si>
  <si>
    <t>2-3</t>
  </si>
  <si>
    <t>Terminal Type (Actor)</t>
  </si>
  <si>
    <t>v2.3</t>
  </si>
  <si>
    <t>Type of Smart Grid Terminal</t>
  </si>
  <si>
    <t xml:space="preserve">Allowance for Penetration Loss = </t>
  </si>
  <si>
    <t>Sheet 2: Filled out penetration loss table - consistent with NISTIR Section 5 rewrite</t>
  </si>
  <si>
    <t>Changed terminal options to better fit terminal description for SG Use Case</t>
  </si>
  <si>
    <t>Completed data density calculations for ITU-R M.2135 Urban Micro-Cell Model</t>
  </si>
  <si>
    <t>Inside Vehicle based on ITU-R M.2135 Recommendation</t>
  </si>
  <si>
    <r>
      <t xml:space="preserve">Lookup Table for Penetration Loss in dB  </t>
    </r>
    <r>
      <rPr>
        <b/>
        <i/>
        <sz val="14"/>
        <color rgb="FFFF0000"/>
        <rFont val="Calibri"/>
        <family val="2"/>
        <scheme val="minor"/>
      </rPr>
      <t>(Values in bold italics taken from reference material)</t>
    </r>
  </si>
  <si>
    <t xml:space="preserve">Additional Margin (std dev) = </t>
  </si>
  <si>
    <t>Hilly with moderate to heavy tree density</t>
  </si>
  <si>
    <t>Hilly with light tree density or flat with medium to heavy tree density</t>
  </si>
  <si>
    <t>Flat with light tree density</t>
  </si>
  <si>
    <t>Manhattan-like building grid</t>
  </si>
  <si>
    <t>"</t>
  </si>
  <si>
    <t>BS antenna must be higher than rooftop (&gt;30 m)</t>
  </si>
  <si>
    <t>Requires entry for average bldg height &amp; road width</t>
  </si>
  <si>
    <r>
      <t>1</t>
    </r>
    <r>
      <rPr>
        <b/>
        <vertAlign val="superscript"/>
        <sz val="11"/>
        <color theme="1"/>
        <rFont val="Arial"/>
        <family val="2"/>
      </rPr>
      <t>st</t>
    </r>
    <r>
      <rPr>
        <b/>
        <sz val="11"/>
        <color theme="1"/>
        <rFont val="Arial"/>
        <family val="2"/>
      </rPr>
      <t xml:space="preserve"> Entry</t>
    </r>
  </si>
  <si>
    <t>Relationships and Relevant Conversion factors</t>
  </si>
  <si>
    <t>Deployment Region Description</t>
  </si>
  <si>
    <t>Typical Terminal Antenna Heights</t>
  </si>
  <si>
    <t>Area of Region to be Covered =</t>
  </si>
  <si>
    <t>Path Loss Models &amp; Applicable Frequency Band</t>
  </si>
  <si>
    <t xml:space="preserve">Smart Grid Input Data &amp; Coverage Requirements </t>
  </si>
  <si>
    <t>2. Spectral efficiency in this line includes only modulation efficiency and coding rate (PHY Layer Spectral Efficiency)</t>
  </si>
  <si>
    <t>Added protection to all but Sheet 1 - PW to unprotect is 123</t>
  </si>
  <si>
    <r>
      <rPr>
        <sz val="11"/>
        <color theme="1"/>
        <rFont val="Calibri"/>
        <family val="2"/>
      </rPr>
      <t>μ</t>
    </r>
    <r>
      <rPr>
        <sz val="11"/>
        <color theme="1"/>
        <rFont val="Calibri"/>
        <family val="2"/>
        <scheme val="minor"/>
      </rPr>
      <t>sec/km</t>
    </r>
  </si>
  <si>
    <t>Over-the-air Propagation time =</t>
  </si>
  <si>
    <t>v2.4</t>
  </si>
  <si>
    <t>Spectrum is "Dedicated" or "Shared"</t>
  </si>
  <si>
    <t>Sheet 1: Added input for "Dedicated" or "Shared" spectrum -choice impacts value for interference margin</t>
  </si>
  <si>
    <t>Average Building and Road width information is necessary for IRU-R M.2135-1 Path Loss Model</t>
  </si>
  <si>
    <t>Sheet 2: Added values for inter-operator interferenced based on dedicated or shared spectrum</t>
  </si>
  <si>
    <t>DL/UL  System Gain Calculation for</t>
  </si>
  <si>
    <t>v2.5</t>
  </si>
  <si>
    <t>Many of these parameters are not directly specified by the standard. Generally they may be both technology-specific and vendor-specific. Base station and Terminal parameters are required along with the modulation and coding scheme with associated S/N requirements.</t>
  </si>
  <si>
    <t>Fixed Outdoor Pole or Bldg-Mounted Terminal</t>
  </si>
  <si>
    <t>Antenna gain will generally be higher in the higher frequency bands. EIRP regulatory limits may differ in different frequency bands</t>
  </si>
  <si>
    <r>
      <t xml:space="preserve">Lookup Table for Applicable Link Margins in dB </t>
    </r>
    <r>
      <rPr>
        <b/>
        <i/>
        <sz val="14"/>
        <color rgb="FFFF0000"/>
        <rFont val="Calibri"/>
        <family val="2"/>
        <scheme val="minor"/>
      </rPr>
      <t>(Need SDO group consensus on applicable numbers)</t>
    </r>
  </si>
  <si>
    <t>Other "A"</t>
  </si>
  <si>
    <t>Other "B"</t>
  </si>
  <si>
    <t>Added more explanatory notes and miscellaneous edits</t>
  </si>
  <si>
    <t>v2.6</t>
  </si>
  <si>
    <t>Sheet 1a: Changed input data density units to Megabytes/sec/area (sq-mi or sq-km)</t>
  </si>
  <si>
    <t>7. If the intent is to overlay or take advantage of an existing wireless network, the existing network must have at least this much excess capacity to handle SG data density requirements. For a "Greenfield" deployment, this represents the total data density required for SG.</t>
  </si>
  <si>
    <t>Sheet 1a: Added "incremental" with footnote to SG DD requirements to cover use of existing network.</t>
  </si>
  <si>
    <t>Also added more explanatory notes</t>
  </si>
  <si>
    <r>
      <t>dense urban</t>
    </r>
    <r>
      <rPr>
        <b/>
        <vertAlign val="superscript"/>
        <sz val="12"/>
        <color indexed="8"/>
        <rFont val="Arial"/>
        <family val="2"/>
      </rPr>
      <t>0,4</t>
    </r>
  </si>
  <si>
    <t>≥ 4,000</t>
  </si>
  <si>
    <r>
      <t>urban</t>
    </r>
    <r>
      <rPr>
        <b/>
        <vertAlign val="superscript"/>
        <sz val="12"/>
        <color indexed="8"/>
        <rFont val="Arial"/>
        <family val="2"/>
      </rPr>
      <t>0,5</t>
    </r>
  </si>
  <si>
    <t>≥1000 - &lt;4000</t>
  </si>
  <si>
    <r>
      <t>suburban</t>
    </r>
    <r>
      <rPr>
        <b/>
        <vertAlign val="superscript"/>
        <sz val="12"/>
        <color indexed="8"/>
        <rFont val="Arial"/>
        <family val="2"/>
      </rPr>
      <t>0,6</t>
    </r>
  </si>
  <si>
    <t>≥100 - &lt;1000</t>
  </si>
  <si>
    <r>
      <t>rural</t>
    </r>
    <r>
      <rPr>
        <b/>
        <vertAlign val="superscript"/>
        <sz val="12"/>
        <color indexed="8"/>
        <rFont val="Arial"/>
        <family val="2"/>
      </rPr>
      <t>7</t>
    </r>
  </si>
  <si>
    <t>≥10 - &lt;100</t>
  </si>
  <si>
    <r>
      <t>low density rural</t>
    </r>
    <r>
      <rPr>
        <b/>
        <vertAlign val="superscript"/>
        <sz val="12"/>
        <color indexed="8"/>
        <rFont val="Arial"/>
        <family val="2"/>
      </rPr>
      <t>7</t>
    </r>
  </si>
  <si>
    <t>&lt; 10</t>
  </si>
  <si>
    <t xml:space="preserve">Type A </t>
  </si>
  <si>
    <t xml:space="preserve">Type B </t>
  </si>
  <si>
    <t xml:space="preserve">Type C </t>
  </si>
  <si>
    <t>Land Area =</t>
  </si>
  <si>
    <t>Point Density Area Category Characteristics</t>
  </si>
  <si>
    <t>Density</t>
  </si>
  <si>
    <r>
      <t>USA-States -</t>
    </r>
    <r>
      <rPr>
        <b/>
        <sz val="12"/>
        <color indexed="10"/>
        <rFont val="Arial"/>
        <family val="2"/>
      </rPr>
      <t xml:space="preserve"> Model Area</t>
    </r>
  </si>
  <si>
    <t>Density Area Category</t>
  </si>
  <si>
    <r>
      <t>House-Units</t>
    </r>
    <r>
      <rPr>
        <b/>
        <vertAlign val="superscript"/>
        <sz val="12"/>
        <color indexed="8"/>
        <rFont val="Arial"/>
        <family val="2"/>
      </rPr>
      <t>2</t>
    </r>
    <r>
      <rPr>
        <b/>
        <sz val="12"/>
        <color indexed="8"/>
        <rFont val="Arial"/>
        <family val="2"/>
      </rPr>
      <t xml:space="preserve"> per sq-mi</t>
    </r>
  </si>
  <si>
    <r>
      <t>House-unit cluster area</t>
    </r>
    <r>
      <rPr>
        <b/>
        <vertAlign val="superscript"/>
        <sz val="12"/>
        <color indexed="8"/>
        <rFont val="Arial"/>
        <family val="2"/>
      </rPr>
      <t>3</t>
    </r>
    <r>
      <rPr>
        <b/>
        <sz val="12"/>
        <color indexed="8"/>
        <rFont val="Arial"/>
        <family val="2"/>
      </rPr>
      <t xml:space="preserve"> (sq-mi)</t>
    </r>
  </si>
  <si>
    <t>% of Population</t>
  </si>
  <si>
    <t>% of House-Units</t>
  </si>
  <si>
    <t>% of "Land" Area</t>
  </si>
  <si>
    <t>% of "Land" Area with hills/valley RF issues</t>
  </si>
  <si>
    <t>% of "Land" Area with foliage RF issues</t>
  </si>
  <si>
    <t>% of "Land" Area with noise floor RF issues</t>
  </si>
  <si>
    <t>house-unit qty</t>
  </si>
  <si>
    <t>comm'rcl &amp; indust unit qty</t>
  </si>
  <si>
    <t>electr mtrs qty</t>
  </si>
  <si>
    <t>gas mtrs qty</t>
  </si>
  <si>
    <t>water mtrs qty</t>
  </si>
  <si>
    <t>Distr end-point qty</t>
  </si>
  <si>
    <t>Total Potential end-points</t>
  </si>
  <si>
    <r>
      <t>4</t>
    </r>
    <r>
      <rPr>
        <sz val="11"/>
        <color indexed="8"/>
        <rFont val="Arial"/>
        <family val="2"/>
      </rPr>
      <t xml:space="preserve"> places,
median 1.00,
0.02 - 303</t>
    </r>
  </si>
  <si>
    <r>
      <t>74</t>
    </r>
    <r>
      <rPr>
        <sz val="11"/>
        <color indexed="8"/>
        <rFont val="Arial"/>
        <family val="2"/>
      </rPr>
      <t xml:space="preserve"> places
median 2.12,
0.01 - 579</t>
    </r>
  </si>
  <si>
    <r>
      <t>355</t>
    </r>
    <r>
      <rPr>
        <sz val="11"/>
        <color indexed="8"/>
        <rFont val="Arial"/>
        <family val="2"/>
      </rPr>
      <t xml:space="preserve"> places,
median 1.47,
0.02 - 757</t>
    </r>
  </si>
  <si>
    <r>
      <t>60</t>
    </r>
    <r>
      <rPr>
        <sz val="11"/>
        <color indexed="8"/>
        <rFont val="Arial"/>
        <family val="2"/>
      </rPr>
      <t xml:space="preserve"> places,
median 3.12,
0.04 - 400</t>
    </r>
  </si>
  <si>
    <r>
      <t>9</t>
    </r>
    <r>
      <rPr>
        <sz val="11"/>
        <color indexed="8"/>
        <rFont val="Arial"/>
        <family val="2"/>
      </rPr>
      <t xml:space="preserve"> places,
median 21.04,
0.13 - 2,874</t>
    </r>
  </si>
  <si>
    <r>
      <t xml:space="preserve">Model Area </t>
    </r>
    <r>
      <rPr>
        <b/>
        <sz val="10"/>
        <color indexed="8"/>
        <rFont val="Arial"/>
        <family val="2"/>
      </rPr>
      <t>Totals (count or sq-mi)</t>
    </r>
  </si>
  <si>
    <t>0) based on the census tract densities, not necessarily a census place's suburban, urban, dense urban zones</t>
  </si>
  <si>
    <t xml:space="preserve">1) </t>
  </si>
  <si>
    <t>2) based on a census tract's hous-units-qty / land sq-miles</t>
  </si>
  <si>
    <t>3) based on census place land area ("places2k.zip" from Census Bureau Gazetteer), that satisfies the house-unit density criteria</t>
  </si>
  <si>
    <t xml:space="preserve">4) commercial, residential zones </t>
  </si>
  <si>
    <t>5) commercial, industrial, residential zones</t>
  </si>
  <si>
    <t>6) residential, commercial, industrial zones</t>
  </si>
  <si>
    <t>7) places, residential, commercial, industrial</t>
  </si>
  <si>
    <t>link with Substation and circuit info</t>
  </si>
  <si>
    <t>Legend:</t>
  </si>
  <si>
    <t>work-in-progress / tbd</t>
  </si>
  <si>
    <t>Estimating factors:</t>
  </si>
  <si>
    <t>residential accts</t>
  </si>
  <si>
    <t>C&amp;I accts</t>
  </si>
  <si>
    <t>% of HU with electr primary mtrs</t>
  </si>
  <si>
    <t>% of HU with gas primary mtrs</t>
  </si>
  <si>
    <t>% of HU with water primary mtrs</t>
  </si>
  <si>
    <t>avg qty electr mtrs per C&amp;I</t>
  </si>
  <si>
    <t>avg qty gas mtrs per C&amp;I</t>
  </si>
  <si>
    <t>avg qty water mtrs per C&amp;I</t>
  </si>
  <si>
    <t>Distr Substation Qty</t>
  </si>
  <si>
    <t>Distr Feeder Circuits Qty</t>
  </si>
  <si>
    <t>Feeder devices per circuit</t>
  </si>
  <si>
    <t>\</t>
  </si>
  <si>
    <t>House-Units (HU) =</t>
  </si>
  <si>
    <t>Thruput Required for Feeder Devices =</t>
  </si>
  <si>
    <t>Thruput Required for Distr Feeder Circuits =</t>
  </si>
  <si>
    <t>Thruput Required for Distr Substations =</t>
  </si>
  <si>
    <t>Commercial &amp; Industrial Qty =</t>
  </si>
  <si>
    <t>Distr Substation Qty =</t>
  </si>
  <si>
    <t>Distr Feeder Circuits Qty =</t>
  </si>
  <si>
    <t>Layer 3+ Typ</t>
  </si>
  <si>
    <t>Entered numerical values just as place holder-Doug</t>
  </si>
  <si>
    <t>MB/Hr</t>
  </si>
  <si>
    <t>Demographic Description for PL Model is</t>
  </si>
  <si>
    <t>Terrain Type for Erceg PL Model is</t>
  </si>
  <si>
    <t>Total Required Smart Meter Thruput =</t>
  </si>
  <si>
    <t xml:space="preserve">Added Work Sheet A: Model Area Demographics (Sheet from Framework file) for deriving Data density requirements </t>
  </si>
  <si>
    <t>Edited some of the explanatory notes</t>
  </si>
  <si>
    <t>Additional, higher layer Channel OH =</t>
  </si>
  <si>
    <t>Cells highlighted in yellow require an entry</t>
  </si>
  <si>
    <t>Req Peak DL Thruput/device/hr</t>
  </si>
  <si>
    <t>Req Peak UL Thruput/device/hr</t>
  </si>
  <si>
    <t>Channel</t>
  </si>
  <si>
    <r>
      <t>Required incremental</t>
    </r>
    <r>
      <rPr>
        <b/>
        <vertAlign val="superscript"/>
        <sz val="11"/>
        <color theme="1"/>
        <rFont val="Calibri"/>
        <family val="2"/>
        <scheme val="minor"/>
      </rPr>
      <t>7</t>
    </r>
    <r>
      <rPr>
        <b/>
        <sz val="11"/>
        <color theme="1"/>
        <rFont val="Calibri"/>
        <family val="2"/>
        <scheme val="minor"/>
      </rPr>
      <t xml:space="preserve"> Data Density for SG Network in MB/unit area =</t>
    </r>
  </si>
  <si>
    <t>Data Goodput/Sector at Required BS-to-BS Spacing =</t>
  </si>
  <si>
    <r>
      <t>Cell SE Density at Maximum Range</t>
    </r>
    <r>
      <rPr>
        <vertAlign val="superscript"/>
        <sz val="11"/>
        <color theme="1"/>
        <rFont val="Calibri"/>
        <family val="2"/>
        <scheme val="minor"/>
      </rPr>
      <t>2</t>
    </r>
    <r>
      <rPr>
        <sz val="11"/>
        <color theme="1"/>
        <rFont val="Calibri"/>
        <family val="2"/>
        <scheme val="minor"/>
      </rPr>
      <t xml:space="preserve"> =</t>
    </r>
  </si>
  <si>
    <t>Avg Cell Data Density at Maximum Range =</t>
  </si>
  <si>
    <t>Required Cell SE Density =</t>
  </si>
  <si>
    <t>Sheet 1a: Added input (up to 15%) for any additional higher layer OH factors not accounted for in OH entry on sheet 1.</t>
  </si>
  <si>
    <t>Added provision for separate entry for channel encryption OH</t>
  </si>
  <si>
    <t>Total Channel OH  =</t>
  </si>
  <si>
    <t>Open Issues or enhancements still to be worked on (in order of priority):</t>
  </si>
  <si>
    <t>In some cases input parameters will be within a range valid for two or more path loss models. In some of these cases results may differ significantly. It is up to the user to decide which result to use for intial planning purposes. In all cases it is important to point out that this type of analysis should always be supplemented with more detailed site-specific RF planning prior to deployment.</t>
  </si>
  <si>
    <t>Notes for Informative Purposes:</t>
  </si>
  <si>
    <t xml:space="preserve"> </t>
  </si>
  <si>
    <t>Changed worksheet names: Sheet 1 now Sheet B-Wireless Input System Gain, Sheet 1a now Sheet C: Input SG Ntwrk InpuBS Output - Numbered worksheets, 1 thru 3 are only for calculations and background information</t>
  </si>
  <si>
    <t>Specify Duplex Method</t>
  </si>
  <si>
    <t>Channel OH for Encryption =</t>
  </si>
  <si>
    <t>Traffic Bias</t>
  </si>
  <si>
    <t>Sheet 1: Additional reference data is desirable to validate penetration loss estimates relative to frequency</t>
  </si>
  <si>
    <t>Consider adding a variation for more Extreme Terrain Characteristcs by combining Foliage &amp; Diffraction model with Free Space Loss</t>
  </si>
  <si>
    <t>UL</t>
  </si>
  <si>
    <t>DL</t>
  </si>
  <si>
    <t>UL  Layer 2 Spectral Efficiency (bps/Hz)</t>
  </si>
  <si>
    <t>DL Layer 2 Spectral Efficiency (bps/Hz)</t>
  </si>
  <si>
    <t>Added functionality for TDD with assymetric DL/UL Traffic</t>
  </si>
  <si>
    <t xml:space="preserve">Began to add provision for DL vs UL variant </t>
  </si>
  <si>
    <t>-1.0</t>
  </si>
  <si>
    <t>5 to 7</t>
  </si>
  <si>
    <t>4 to 6</t>
  </si>
  <si>
    <t>11 to 17</t>
  </si>
  <si>
    <t>Antenna must be omni-directional, Power may be constrained by human safety exposure limits</t>
  </si>
  <si>
    <t>Antenna size constraints, human safety exposure limitations</t>
  </si>
  <si>
    <t>Cell Edge SNR + 10 dB =</t>
  </si>
  <si>
    <t>DL Link Budget minus UL Link Budget =</t>
  </si>
  <si>
    <t>UL Mod/Coding Scheme</t>
  </si>
  <si>
    <t>DL Mod/Coding Scheme</t>
  </si>
  <si>
    <t>DOWNLINK Modulation &amp; Coding Scheme (MCS) for Wireless Technology</t>
  </si>
  <si>
    <t>UPLINK Modulation &amp; Coding Scheme (MCS) for Wireless Technology</t>
  </si>
  <si>
    <t>Req UL S/N</t>
  </si>
  <si>
    <t>Req DL S/N</t>
  </si>
  <si>
    <t>UL Mod/Coding</t>
  </si>
  <si>
    <t>DL Mod/Coding</t>
  </si>
  <si>
    <t>UL Mod Eff</t>
  </si>
  <si>
    <t>Req UL S/N*</t>
  </si>
  <si>
    <t>DL Mod Eff</t>
  </si>
  <si>
    <t>Req DL S/N*</t>
  </si>
  <si>
    <t>DL Coding</t>
  </si>
  <si>
    <t>DL Channel BW in MHz =</t>
  </si>
  <si>
    <t>UL Channel BW in MHz =</t>
  </si>
  <si>
    <t>Required Cell SE Density=</t>
  </si>
  <si>
    <t>bps/Hz</t>
  </si>
  <si>
    <t>DL Cell Edge Spectral Eff =</t>
  </si>
  <si>
    <t>DL Cell Edge Data Rate =</t>
  </si>
  <si>
    <t>DL S/N at Cell Edge =</t>
  </si>
  <si>
    <t>Thresh-hold UL Data Rate =</t>
  </si>
  <si>
    <t xml:space="preserve">Capacity-Limited Traffic Direction is </t>
  </si>
  <si>
    <t>DL Channel Cap/UL Channel Cap =</t>
  </si>
  <si>
    <t>Ratio of DL/UL Data Density Req =</t>
  </si>
  <si>
    <t>v2.7</t>
  </si>
  <si>
    <t>Adjusted Cell input to Sheet B to account for higher level OH factors</t>
  </si>
  <si>
    <t>Req Cell Edge UL Channel Goodput =</t>
  </si>
  <si>
    <t>Req Cell Edge DL Channel Goodput =</t>
  </si>
  <si>
    <t>Following are the Entries Transferred to Sheet C</t>
  </si>
  <si>
    <t>Peak UL Channel Data Rate =</t>
  </si>
  <si>
    <t>Peak DL Channel Data Rate =</t>
  </si>
  <si>
    <t>DL to UL Link Budget Advantage =</t>
  </si>
  <si>
    <t>Land Area of region to be covered =</t>
  </si>
  <si>
    <t>"Avg" UL Layer 2 Data Rate =</t>
  </si>
  <si>
    <t>"Avg" DL Layer 2 Data Rate =</t>
  </si>
  <si>
    <t>Required DL Signal to Noise (dB)</t>
  </si>
  <si>
    <t>Required UL Signal to Noise (dB)</t>
  </si>
  <si>
    <t>Required Cell Edge UL S/N =</t>
  </si>
  <si>
    <t xml:space="preserve">Duplexing Method is </t>
  </si>
  <si>
    <t>Corrected "Bug" on Sheet A in Erceg Type selection</t>
  </si>
  <si>
    <t>Developed an algorithm to determine limiting traffic direction (UL or DL)</t>
  </si>
  <si>
    <t>v2.8</t>
  </si>
  <si>
    <t>v2.9</t>
  </si>
  <si>
    <t>Feeder Devices per Circuit =</t>
  </si>
  <si>
    <t>Total Number of Actors in Area of Interest =</t>
  </si>
  <si>
    <t># of Devices</t>
  </si>
  <si>
    <t>Added Worksheet 4 to incorporate Latency Model</t>
  </si>
  <si>
    <t>Sec</t>
  </si>
  <si>
    <t>Bytes</t>
  </si>
  <si>
    <t>Packet Size (bytes) (From Sheet A) =</t>
  </si>
  <si>
    <t>bps</t>
  </si>
  <si>
    <t>sec</t>
  </si>
  <si>
    <t xml:space="preserve"># of Actors or Terminals Supported = </t>
  </si>
  <si>
    <t>Confidence</t>
  </si>
  <si>
    <t>4-Analysis to Assess Latency Requirements</t>
  </si>
  <si>
    <t>3-Signal to Noise Ratio and Channel Spectral Efficiency vs. Path Length</t>
  </si>
  <si>
    <t>2-Signal to Noise Ratio and Channel Capacity vs. Path Length</t>
  </si>
  <si>
    <t>1-Range Estimation Tool</t>
  </si>
  <si>
    <t>Terminal type that best fits Smart Grid "Use Case" being analyzed (If multiple types, best to choose "worse case")</t>
  </si>
  <si>
    <t>Sheet C: Added actual actors per channel or sector and provided number of actors per channel or sector to meet latency requirements</t>
  </si>
  <si>
    <t>Sheet A: Added input entries necessary for latency analysis</t>
  </si>
  <si>
    <t>This table below is meant to be a guide to provide some insights as to how specific SG Terminal Types can impact the system gain and ultimately the Link Budget - 2 lines are provided for 2 additional types of ACTORS</t>
  </si>
  <si>
    <t>DL Chan OH Factor (Other PHY + Typically Layer 2: Data Link/MAC)</t>
  </si>
  <si>
    <t>UL Chan OH Factor (Other PHY + Typically Layer 2: Data Link/MAC)</t>
  </si>
  <si>
    <t>Other minor edits to improve usability</t>
  </si>
  <si>
    <t>Sheet A</t>
  </si>
  <si>
    <t>Sheet B</t>
  </si>
  <si>
    <t>Denotes values transferred from</t>
  </si>
  <si>
    <t>Total # of Terminals (Actors) per Sector or Channel =</t>
  </si>
  <si>
    <t>Limiting Channel Direction is</t>
  </si>
  <si>
    <t>8. This value assumes that 1/2 of Actors or Terminals are operating at a level higher than the cell-edge goodput</t>
  </si>
  <si>
    <t>v3.0</t>
  </si>
  <si>
    <t>Avgerage Channel Goodput in bps (from Sheet C) =</t>
  </si>
  <si>
    <t>Added Sheet 4: Latency Model and included latency-limited terminals per sector as an output on Sheet C - Assumes average channel goodput for estimate</t>
  </si>
  <si>
    <t>Latency Requirement in sec =</t>
  </si>
  <si>
    <t>Confidence Level (from Sheet A) =</t>
  </si>
  <si>
    <t>Sheet C</t>
  </si>
  <si>
    <t>Mbps/BS</t>
  </si>
  <si>
    <t>Mbps/Sector</t>
  </si>
  <si>
    <r>
      <t>Approximate # of Terminals(Actors) per Sector or Channel based on Latency Requirement</t>
    </r>
    <r>
      <rPr>
        <b/>
        <vertAlign val="superscript"/>
        <sz val="12"/>
        <color theme="1"/>
        <rFont val="Calibri"/>
        <family val="2"/>
        <scheme val="minor"/>
      </rPr>
      <t>8</t>
    </r>
    <r>
      <rPr>
        <b/>
        <sz val="12"/>
        <color theme="1"/>
        <rFont val="Calibri"/>
        <family val="2"/>
        <scheme val="minor"/>
      </rPr>
      <t xml:space="preserve"> =</t>
    </r>
  </si>
  <si>
    <t>Required Latency Confidence Level =</t>
  </si>
  <si>
    <t>Total Area Thruput (Goodput) Requirements =</t>
  </si>
  <si>
    <t>UL SE Excl MAC OH (bps/Hz)</t>
  </si>
  <si>
    <t>DL SE Excl MAC OH (bps/Hz)</t>
  </si>
  <si>
    <r>
      <t>Data Goodput per Cell/BS at Maximum Range</t>
    </r>
    <r>
      <rPr>
        <vertAlign val="superscript"/>
        <sz val="11"/>
        <color theme="1"/>
        <rFont val="Calibri"/>
        <family val="2"/>
        <scheme val="minor"/>
      </rPr>
      <t>3</t>
    </r>
    <r>
      <rPr>
        <sz val="11"/>
        <color theme="1"/>
        <rFont val="Calibri"/>
        <family val="2"/>
        <scheme val="minor"/>
      </rPr>
      <t xml:space="preserve"> =</t>
    </r>
  </si>
  <si>
    <r>
      <rPr>
        <sz val="11"/>
        <rFont val="Calibri"/>
        <family val="2"/>
        <scheme val="minor"/>
      </rPr>
      <t>3.</t>
    </r>
    <r>
      <rPr>
        <b/>
        <sz val="11"/>
        <rFont val="Calibri"/>
        <family val="2"/>
        <scheme val="minor"/>
      </rPr>
      <t xml:space="preserve"> A</t>
    </r>
    <r>
      <rPr>
        <sz val="11"/>
        <rFont val="Calibri"/>
        <family val="2"/>
        <scheme val="minor"/>
      </rPr>
      <t>ctual data thruput or "goodput" based on selected channel BW, technology-specific MAC/control channel OH, plus higher level OH</t>
    </r>
  </si>
  <si>
    <t>4. Urban Micro-Cell for ITU-R M.2135-1 model ONLY valid for 10 m BS antenna &amp; SS antenna height between 1 m &amp; 2.5 m</t>
  </si>
  <si>
    <t>Sheet C: Fixed a bug in Goodput calculation when range limited</t>
  </si>
  <si>
    <t>sq-mi</t>
  </si>
  <si>
    <t>Latency/Packet Time = # of Slots =</t>
  </si>
  <si>
    <t>Sheet 4: Fixed incorrect parameter lables</t>
  </si>
  <si>
    <t>Probability Packet Falls within Latency Window =</t>
  </si>
  <si>
    <t>Average Time between Events =</t>
  </si>
  <si>
    <t>Message Probability in Latency Window =</t>
  </si>
  <si>
    <t>Sheet A: Added calulation for probability calulation based on number of message events</t>
  </si>
  <si>
    <t>Sheet 2: May need inputs for self &amp; interoperator-interference margins moved to Sheet B to reflect differences between technologies?</t>
  </si>
  <si>
    <t>v3.1</t>
  </si>
  <si>
    <t>Base Station Cable Losses (if applicable) dB</t>
  </si>
  <si>
    <t>Downlink Sys Gain Calc</t>
  </si>
  <si>
    <t>Uplink Sys Gain Calc</t>
  </si>
  <si>
    <t>Note: The appropriate values on this sheet feed into Sheet C, Sheet 1, and Sheet 2. Generally the UL system gain will be the limiting factor for link budget calculations.</t>
  </si>
  <si>
    <t>Housing Unit (HU) Density =</t>
  </si>
  <si>
    <t>Commerial &amp; Industrial (C &amp; I) Density =</t>
  </si>
  <si>
    <t>Deployment region applicable for PL models is</t>
  </si>
  <si>
    <t>Estimated Number of Base Stations to Meet Coverage, Data Density, and Latency Requirements</t>
  </si>
  <si>
    <t>For Data Density Area Category</t>
  </si>
  <si>
    <t>Density Area Category is</t>
  </si>
  <si>
    <t xml:space="preserve">    Rural Micro-Cell for ITU-R M.2135 considered valid for frequency range 450 MHz to 6000 MHz</t>
  </si>
  <si>
    <t>Latency Required in sec (From Sheet A) =</t>
  </si>
  <si>
    <t>Misc minor edits and bug fixes</t>
  </si>
  <si>
    <t xml:space="preserve">Avg Packet Size/Avg Goodput = Avg Packet Time = </t>
  </si>
  <si>
    <t>Yes</t>
  </si>
  <si>
    <t>Is Spatial Multiplexing Supported in the DL?</t>
  </si>
  <si>
    <t>Is Multi-User MIMO Supported in the UL?</t>
  </si>
  <si>
    <t>v3.2</t>
  </si>
  <si>
    <t>Added capacity/SE adjustment for DL Spatial Multiplexing and UL MU-MIMO</t>
  </si>
  <si>
    <t>Cell SE Density bps/Hz/sq-km</t>
  </si>
  <si>
    <t>Sheet C: Added calculation for area excess capacity</t>
  </si>
  <si>
    <t>Urban Micr-Cell</t>
  </si>
  <si>
    <t>9. Even in Capacity-Limited deployments there may be excess capacity since the number of required base stations are rounded up to the next whole number</t>
  </si>
  <si>
    <t>Additional Base Stations Required to meet Latency Requirements =</t>
  </si>
  <si>
    <r>
      <t>Minimum number of BS</t>
    </r>
    <r>
      <rPr>
        <b/>
        <vertAlign val="superscript"/>
        <sz val="12"/>
        <color theme="1"/>
        <rFont val="Calibri"/>
        <family val="2"/>
        <scheme val="minor"/>
      </rPr>
      <t>6</t>
    </r>
    <r>
      <rPr>
        <b/>
        <sz val="12"/>
        <color theme="1"/>
        <rFont val="Calibri"/>
        <family val="2"/>
        <scheme val="minor"/>
      </rPr>
      <t xml:space="preserve"> for ubiqutous coverage =</t>
    </r>
  </si>
  <si>
    <t>UL or DL Data (Goodput) Density Required =</t>
  </si>
  <si>
    <r>
      <t>Required incremental</t>
    </r>
    <r>
      <rPr>
        <b/>
        <vertAlign val="superscript"/>
        <sz val="11"/>
        <color theme="1"/>
        <rFont val="Calibri"/>
        <family val="2"/>
        <scheme val="minor"/>
      </rPr>
      <t>7</t>
    </r>
    <r>
      <rPr>
        <b/>
        <sz val="11"/>
        <color theme="1"/>
        <rFont val="Calibri"/>
        <family val="2"/>
        <scheme val="minor"/>
      </rPr>
      <t xml:space="preserve"> Data (Goodput) Density for SG Network in Mbps/unit area =</t>
    </r>
  </si>
  <si>
    <t>5. BS-to-BS spacing assumes a hexangularly shaped coverage area</t>
  </si>
  <si>
    <r>
      <t>Average BS-to-BS Spacing</t>
    </r>
    <r>
      <rPr>
        <b/>
        <vertAlign val="superscript"/>
        <sz val="12"/>
        <color theme="1"/>
        <rFont val="Calibri"/>
        <family val="2"/>
        <scheme val="minor"/>
      </rPr>
      <t>5</t>
    </r>
    <r>
      <rPr>
        <b/>
        <sz val="12"/>
        <color theme="1"/>
        <rFont val="Calibri"/>
        <family val="2"/>
        <scheme val="minor"/>
      </rPr>
      <t xml:space="preserve"> =</t>
    </r>
  </si>
  <si>
    <t>Actors/Channel</t>
  </si>
  <si>
    <t>Total # of BS for Coverage, Capacity, &amp; Latency =</t>
  </si>
  <si>
    <t>Total Base Stations</t>
  </si>
  <si>
    <r>
      <t>Average Coverage Area</t>
    </r>
    <r>
      <rPr>
        <b/>
        <sz val="12"/>
        <color theme="1"/>
        <rFont val="Calibri"/>
        <family val="2"/>
        <scheme val="minor"/>
      </rPr>
      <t xml:space="preserve"> per BS =</t>
    </r>
  </si>
  <si>
    <r>
      <t xml:space="preserve">Approximate Goodput/Base Station (Mbps) </t>
    </r>
    <r>
      <rPr>
        <b/>
        <sz val="12"/>
        <color theme="1"/>
        <rFont val="Calibri"/>
        <family val="2"/>
      </rPr>
      <t>≥</t>
    </r>
  </si>
  <si>
    <r>
      <t xml:space="preserve">Net Cell/BS Spectral Efficiency (bps/Hz) </t>
    </r>
    <r>
      <rPr>
        <b/>
        <sz val="12"/>
        <color theme="1"/>
        <rFont val="Calibri"/>
        <family val="2"/>
      </rPr>
      <t>≥</t>
    </r>
  </si>
  <si>
    <t>Deployment is limited by …….</t>
  </si>
  <si>
    <t>The following Rows provide BS deployment estimates to meet Coverage, Capacity, and Latency requirements</t>
  </si>
  <si>
    <t>Per cent</t>
  </si>
  <si>
    <r>
      <t>Excess Area Data (Goodput) Capacity</t>
    </r>
    <r>
      <rPr>
        <b/>
        <vertAlign val="superscript"/>
        <sz val="12"/>
        <color theme="1"/>
        <rFont val="Calibri"/>
        <family val="2"/>
        <scheme val="minor"/>
      </rPr>
      <t>9</t>
    </r>
    <r>
      <rPr>
        <b/>
        <sz val="12"/>
        <color theme="1"/>
        <rFont val="Calibri"/>
        <family val="2"/>
        <scheme val="minor"/>
      </rPr>
      <t xml:space="preserve"> in % </t>
    </r>
    <r>
      <rPr>
        <b/>
        <sz val="12"/>
        <color theme="1"/>
        <rFont val="Calibri"/>
        <family val="2"/>
      </rPr>
      <t>≥</t>
    </r>
  </si>
  <si>
    <t>BS for Capacity &amp; Coverage</t>
  </si>
  <si>
    <t>Sheet C: Added calculation for additional Base Stations needed  to meet Latency Requirements and restructured output parameters to reflect the change</t>
  </si>
  <si>
    <t>Consider adding an input parameter to account for grossly non-uniform actor distribution</t>
  </si>
  <si>
    <t>For Indoor scenarios it would be best to construct a separate standalone tool with a similar structure.</t>
  </si>
  <si>
    <t># of Actors</t>
  </si>
  <si>
    <t>Total # Payload Events per Hour per Actor =</t>
  </si>
  <si>
    <t>Average Payload Packet Size per Actor in Bytes =</t>
  </si>
  <si>
    <t>Additional Capacity for Future Growth Requirements in % is</t>
  </si>
  <si>
    <t>Number of HU Electric Meters =</t>
  </si>
  <si>
    <t>Number of HU Gas Meters =</t>
  </si>
  <si>
    <t>Number of HU Water Meters =</t>
  </si>
  <si>
    <t>Number of C&amp;I Electric meters =</t>
  </si>
  <si>
    <t>Number of C&amp;I Gas meters =</t>
  </si>
  <si>
    <t>Number of C&amp;I Water Meters =</t>
  </si>
  <si>
    <t>Sheet A: Added provision for entering capacity requirements anticipated for future growth</t>
  </si>
  <si>
    <r>
      <rPr>
        <b/>
        <sz val="12"/>
        <color theme="1"/>
        <rFont val="Calibri"/>
        <family val="2"/>
      </rPr>
      <t xml:space="preserve">Additional </t>
    </r>
    <r>
      <rPr>
        <b/>
        <sz val="12"/>
        <color theme="1"/>
        <rFont val="Calibri"/>
        <family val="2"/>
        <scheme val="minor"/>
      </rPr>
      <t>BS for Latency</t>
    </r>
  </si>
  <si>
    <t>Rows 10 thru 19 show some of the interim calculations for eaxh of the valid PL models leading to a final result</t>
  </si>
  <si>
    <t>UPLINK Modulation &amp; Coding Scheme (MCS)</t>
  </si>
  <si>
    <t>DOWNLINK Modulation &amp; Coding Scheme (MCS)</t>
  </si>
  <si>
    <t>QPSK</t>
  </si>
  <si>
    <t>64QAM</t>
  </si>
  <si>
    <t>16QAM</t>
  </si>
  <si>
    <t>Rep + Coding</t>
  </si>
  <si>
    <t>UL Modulation</t>
  </si>
  <si>
    <t>DL Modulation</t>
  </si>
  <si>
    <t>v3.3</t>
  </si>
  <si>
    <t>Req UL S/N in dB</t>
  </si>
  <si>
    <t>Req DL S/N in dB</t>
  </si>
  <si>
    <t>ARQ/HARQ Repetitions</t>
  </si>
  <si>
    <t>Sheet B: Changed approach for entering Modulation, Coding, &amp; Req S/N to eliminate a potential error in calculating the system gain</t>
  </si>
  <si>
    <t>DL to UL System Gain Differential</t>
  </si>
  <si>
    <t>Events/Hr</t>
  </si>
  <si>
    <t>Added calculations for DL spectral efficiency</t>
  </si>
  <si>
    <t>TDD</t>
  </si>
  <si>
    <t>Shared</t>
  </si>
</sst>
</file>

<file path=xl/styles.xml><?xml version="1.0" encoding="utf-8"?>
<styleSheet xmlns="http://schemas.openxmlformats.org/spreadsheetml/2006/main">
  <numFmts count="16">
    <numFmt numFmtId="43" formatCode="_(* #,##0.00_);_(* \(#,##0.00\);_(* &quot;-&quot;??_);_(@_)"/>
    <numFmt numFmtId="164" formatCode="0.0"/>
    <numFmt numFmtId="165" formatCode="0.000"/>
    <numFmt numFmtId="166" formatCode="0.0%"/>
    <numFmt numFmtId="167" formatCode="0.0000"/>
    <numFmt numFmtId="168" formatCode="#\ ???/???"/>
    <numFmt numFmtId="169" formatCode="0.0\ \d\B"/>
    <numFmt numFmtId="170" formatCode="0.0\ \d\B\i"/>
    <numFmt numFmtId="171" formatCode="0.0\ \d\B\m"/>
    <numFmt numFmtId="172" formatCode="0.000\ \M\H\z"/>
    <numFmt numFmtId="173" formatCode="0\ \M\H\z"/>
    <numFmt numFmtId="174" formatCode="0.0\ \W"/>
    <numFmt numFmtId="175" formatCode="0.00\ \W"/>
    <numFmt numFmtId="176" formatCode="0.0\ \m\w"/>
    <numFmt numFmtId="177" formatCode="0\ \S\e\c"/>
    <numFmt numFmtId="178" formatCode="0.00\ \S\e\c"/>
  </numFmts>
  <fonts count="7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11"/>
      <color rgb="FF333333"/>
      <name val="Arial"/>
      <family val="2"/>
    </font>
    <font>
      <sz val="11"/>
      <color rgb="FF333333"/>
      <name val="Symbol"/>
      <family val="1"/>
      <charset val="2"/>
    </font>
    <font>
      <b/>
      <sz val="11"/>
      <color rgb="FF333333"/>
      <name val="Symbol"/>
      <family val="1"/>
      <charset val="2"/>
    </font>
    <font>
      <vertAlign val="subscript"/>
      <sz val="11"/>
      <color rgb="FF333333"/>
      <name val="Arial"/>
      <family val="2"/>
    </font>
    <font>
      <sz val="11"/>
      <color theme="1"/>
      <name val="Arial"/>
      <family val="2"/>
    </font>
    <font>
      <b/>
      <sz val="11"/>
      <color theme="1"/>
      <name val="Calibri"/>
      <family val="2"/>
    </font>
    <font>
      <vertAlign val="subscript"/>
      <sz val="11"/>
      <color theme="1"/>
      <name val="Arial"/>
      <family val="2"/>
    </font>
    <font>
      <b/>
      <vertAlign val="subscript"/>
      <sz val="11"/>
      <color theme="1"/>
      <name val="Calibri"/>
      <family val="2"/>
      <scheme val="minor"/>
    </font>
    <font>
      <sz val="11"/>
      <color rgb="FF333333"/>
      <name val="Calibri"/>
      <family val="2"/>
    </font>
    <font>
      <vertAlign val="superscript"/>
      <sz val="11"/>
      <color theme="1"/>
      <name val="Arial"/>
      <family val="2"/>
    </font>
    <font>
      <sz val="10"/>
      <name val="Arial"/>
      <family val="2"/>
    </font>
    <font>
      <b/>
      <sz val="14"/>
      <color theme="1"/>
      <name val="Calibri"/>
      <family val="2"/>
      <scheme val="minor"/>
    </font>
    <font>
      <b/>
      <sz val="12"/>
      <color theme="1"/>
      <name val="Arial"/>
      <family val="2"/>
    </font>
    <font>
      <b/>
      <vertAlign val="superscript"/>
      <sz val="11"/>
      <color theme="1"/>
      <name val="Calibri"/>
      <family val="2"/>
    </font>
    <font>
      <b/>
      <sz val="12"/>
      <color theme="1"/>
      <name val="Calibri"/>
      <family val="2"/>
      <scheme val="minor"/>
    </font>
    <font>
      <sz val="12"/>
      <color theme="1"/>
      <name val="Calibri"/>
      <family val="2"/>
      <scheme val="minor"/>
    </font>
    <font>
      <b/>
      <i/>
      <sz val="14"/>
      <color rgb="FFFF0000"/>
      <name val="Calibri"/>
      <family val="2"/>
      <scheme val="minor"/>
    </font>
    <font>
      <b/>
      <i/>
      <sz val="11"/>
      <color theme="1"/>
      <name val="Calibri"/>
      <family val="2"/>
      <scheme val="minor"/>
    </font>
    <font>
      <sz val="14"/>
      <color theme="1"/>
      <name val="Calibri"/>
      <family val="2"/>
      <scheme val="minor"/>
    </font>
    <font>
      <b/>
      <i/>
      <sz val="12"/>
      <color rgb="FFFF0000"/>
      <name val="Calibri"/>
      <family val="2"/>
      <scheme val="minor"/>
    </font>
    <font>
      <b/>
      <i/>
      <sz val="12"/>
      <color theme="1"/>
      <name val="Arial"/>
      <family val="2"/>
    </font>
    <font>
      <b/>
      <i/>
      <vertAlign val="subscript"/>
      <sz val="12"/>
      <color theme="1"/>
      <name val="Arial"/>
      <family val="2"/>
    </font>
    <font>
      <b/>
      <i/>
      <sz val="11"/>
      <color rgb="FFFF0000"/>
      <name val="Arial"/>
      <family val="2"/>
    </font>
    <font>
      <b/>
      <sz val="14"/>
      <color rgb="FFFF0000"/>
      <name val="Calibri"/>
      <family val="2"/>
      <scheme val="minor"/>
    </font>
    <font>
      <b/>
      <sz val="12"/>
      <color rgb="FFFF0000"/>
      <name val="Calibri"/>
      <family val="2"/>
      <scheme val="minor"/>
    </font>
    <font>
      <sz val="11"/>
      <name val="Calibri"/>
      <family val="2"/>
      <scheme val="minor"/>
    </font>
    <font>
      <sz val="11"/>
      <color rgb="FFFFC000"/>
      <name val="Calibri"/>
      <family val="2"/>
      <scheme val="minor"/>
    </font>
    <font>
      <b/>
      <sz val="11"/>
      <name val="Calibri"/>
      <family val="2"/>
      <scheme val="minor"/>
    </font>
    <font>
      <vertAlign val="superscript"/>
      <sz val="11"/>
      <color theme="1"/>
      <name val="Calibri"/>
      <family val="2"/>
      <scheme val="minor"/>
    </font>
    <font>
      <b/>
      <vertAlign val="superscript"/>
      <sz val="11"/>
      <color theme="1"/>
      <name val="Calibri"/>
      <family val="2"/>
      <scheme val="minor"/>
    </font>
    <font>
      <b/>
      <sz val="14"/>
      <name val="Calibri"/>
      <family val="2"/>
      <scheme val="minor"/>
    </font>
    <font>
      <b/>
      <vertAlign val="superscript"/>
      <sz val="11"/>
      <color theme="1"/>
      <name val="Arial"/>
      <family val="2"/>
    </font>
    <font>
      <b/>
      <i/>
      <sz val="14"/>
      <color theme="1"/>
      <name val="Calibri"/>
      <family val="2"/>
      <scheme val="minor"/>
    </font>
    <font>
      <sz val="11"/>
      <color theme="1"/>
      <name val="Calibri"/>
      <family val="2"/>
    </font>
    <font>
      <b/>
      <sz val="12"/>
      <color indexed="8"/>
      <name val="Arial"/>
      <family val="2"/>
    </font>
    <font>
      <b/>
      <vertAlign val="superscript"/>
      <sz val="12"/>
      <color indexed="8"/>
      <name val="Arial"/>
      <family val="2"/>
    </font>
    <font>
      <sz val="12"/>
      <color indexed="8"/>
      <name val="Arial"/>
      <family val="2"/>
    </font>
    <font>
      <sz val="11"/>
      <color indexed="8"/>
      <name val="Arial"/>
      <family val="2"/>
    </font>
    <font>
      <b/>
      <sz val="14"/>
      <color indexed="8"/>
      <name val="Arial"/>
      <family val="2"/>
    </font>
    <font>
      <sz val="10"/>
      <color indexed="8"/>
      <name val="Arial"/>
      <family val="2"/>
    </font>
    <font>
      <b/>
      <sz val="10"/>
      <name val="Arial"/>
      <family val="2"/>
    </font>
    <font>
      <b/>
      <sz val="12"/>
      <color indexed="10"/>
      <name val="Arial"/>
      <family val="2"/>
    </font>
    <font>
      <sz val="11"/>
      <color indexed="10"/>
      <name val="Arial"/>
      <family val="2"/>
    </font>
    <font>
      <b/>
      <sz val="10"/>
      <color indexed="10"/>
      <name val="Arial"/>
      <family val="2"/>
    </font>
    <font>
      <b/>
      <sz val="10"/>
      <color indexed="8"/>
      <name val="Arial"/>
      <family val="2"/>
    </font>
    <font>
      <sz val="14"/>
      <color indexed="8"/>
      <name val="Arial"/>
      <family val="2"/>
    </font>
    <font>
      <sz val="12"/>
      <color theme="1"/>
      <name val="Arial"/>
      <family val="2"/>
    </font>
    <font>
      <b/>
      <sz val="12"/>
      <color rgb="FFFF0000"/>
      <name val="Arial"/>
      <family val="2"/>
    </font>
    <font>
      <sz val="10"/>
      <color theme="2" tint="-0.249977111117893"/>
      <name val="Arial"/>
      <family val="2"/>
    </font>
    <font>
      <sz val="12"/>
      <color theme="2" tint="-0.249977111117893"/>
      <name val="Arial"/>
      <family val="2"/>
    </font>
    <font>
      <i/>
      <sz val="12"/>
      <color indexed="8"/>
      <name val="Arial"/>
      <family val="2"/>
    </font>
    <font>
      <b/>
      <u/>
      <sz val="11"/>
      <color theme="1"/>
      <name val="Calibri"/>
      <family val="2"/>
      <scheme val="minor"/>
    </font>
    <font>
      <sz val="14"/>
      <color rgb="FFFF0000"/>
      <name val="Calibri"/>
      <family val="2"/>
      <scheme val="minor"/>
    </font>
    <font>
      <sz val="11"/>
      <name val="Arial"/>
      <family val="2"/>
    </font>
    <font>
      <b/>
      <sz val="11"/>
      <color theme="2" tint="-0.499984740745262"/>
      <name val="Arial"/>
      <family val="2"/>
    </font>
    <font>
      <sz val="10"/>
      <color theme="1"/>
      <name val="Arial"/>
      <family val="2"/>
    </font>
    <font>
      <sz val="11"/>
      <color theme="0" tint="-0.249977111117893"/>
      <name val="Calibri"/>
      <family val="2"/>
      <scheme val="minor"/>
    </font>
    <font>
      <b/>
      <sz val="12"/>
      <name val="Calibri"/>
      <family val="2"/>
      <scheme val="minor"/>
    </font>
    <font>
      <b/>
      <vertAlign val="superscript"/>
      <sz val="12"/>
      <color theme="1"/>
      <name val="Calibri"/>
      <family val="2"/>
      <scheme val="minor"/>
    </font>
    <font>
      <b/>
      <sz val="16"/>
      <color theme="1"/>
      <name val="Arial"/>
      <family val="2"/>
    </font>
    <font>
      <b/>
      <sz val="16"/>
      <color theme="1"/>
      <name val="Calibri"/>
      <family val="2"/>
      <scheme val="minor"/>
    </font>
    <font>
      <b/>
      <sz val="18"/>
      <color theme="1"/>
      <name val="Calibri"/>
      <family val="2"/>
      <scheme val="minor"/>
    </font>
    <font>
      <b/>
      <i/>
      <sz val="12"/>
      <color theme="0" tint="-0.499984740745262"/>
      <name val="Calibri"/>
      <family val="2"/>
      <scheme val="minor"/>
    </font>
    <font>
      <i/>
      <sz val="12"/>
      <color theme="0" tint="-0.499984740745262"/>
      <name val="Calibri"/>
      <family val="2"/>
      <scheme val="minor"/>
    </font>
    <font>
      <b/>
      <sz val="11"/>
      <color theme="2" tint="-9.9978637043366805E-2"/>
      <name val="Calibri"/>
      <family val="2"/>
      <scheme val="minor"/>
    </font>
    <font>
      <b/>
      <sz val="12"/>
      <color theme="1"/>
      <name val="Calibri"/>
      <family val="2"/>
    </font>
    <font>
      <u/>
      <sz val="11"/>
      <color theme="1"/>
      <name val="Calibri"/>
      <family val="2"/>
      <scheme val="minor"/>
    </font>
  </fonts>
  <fills count="17">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indexed="43"/>
        <bgColor indexed="26"/>
      </patternFill>
    </fill>
    <fill>
      <patternFill patternType="solid">
        <fgColor indexed="50"/>
        <bgColor indexed="51"/>
      </patternFill>
    </fill>
    <fill>
      <patternFill patternType="solid">
        <fgColor indexed="22"/>
        <bgColor indexed="31"/>
      </patternFill>
    </fill>
    <fill>
      <patternFill patternType="solid">
        <fgColor indexed="47"/>
        <bgColor indexed="22"/>
      </patternFill>
    </fill>
    <fill>
      <patternFill patternType="solid">
        <fgColor indexed="47"/>
        <bgColor indexed="64"/>
      </patternFill>
    </fill>
    <fill>
      <patternFill patternType="solid">
        <fgColor theme="6" tint="0.39997558519241921"/>
        <bgColor indexed="64"/>
      </patternFill>
    </fill>
  </fills>
  <borders count="57">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style="medium">
        <color indexed="8"/>
      </right>
      <top/>
      <bottom style="medium">
        <color indexed="8"/>
      </bottom>
      <diagonal/>
    </border>
    <border>
      <left/>
      <right style="thick">
        <color indexed="8"/>
      </right>
      <top/>
      <bottom style="thick">
        <color indexed="8"/>
      </bottom>
      <diagonal/>
    </border>
    <border>
      <left/>
      <right/>
      <top/>
      <bottom style="thick">
        <color indexed="8"/>
      </bottom>
      <diagonal/>
    </border>
    <border>
      <left style="thick">
        <color indexed="8"/>
      </left>
      <right style="thick">
        <color indexed="8"/>
      </right>
      <top/>
      <bottom style="thick">
        <color indexed="8"/>
      </bottom>
      <diagonal/>
    </border>
    <border>
      <left/>
      <right style="medium">
        <color indexed="8"/>
      </right>
      <top/>
      <bottom style="thick">
        <color indexed="8"/>
      </bottom>
      <diagonal/>
    </border>
    <border>
      <left style="medium">
        <color indexed="8"/>
      </left>
      <right/>
      <top/>
      <bottom style="thick">
        <color indexed="8"/>
      </bottom>
      <diagonal/>
    </border>
    <border>
      <left style="thick">
        <color indexed="8"/>
      </left>
      <right style="thick">
        <color indexed="8"/>
      </right>
      <top style="thin">
        <color indexed="8"/>
      </top>
      <bottom style="thin">
        <color indexed="8"/>
      </bottom>
      <diagonal/>
    </border>
    <border>
      <left/>
      <right style="thin">
        <color indexed="8"/>
      </right>
      <top style="thin">
        <color indexed="8"/>
      </top>
      <bottom style="thin">
        <color indexed="8"/>
      </bottom>
      <diagonal/>
    </border>
    <border>
      <left style="thick">
        <color indexed="8"/>
      </left>
      <right/>
      <top/>
      <bottom/>
      <diagonal/>
    </border>
    <border>
      <left style="thick">
        <color indexed="8"/>
      </left>
      <right/>
      <top/>
      <bottom style="thick">
        <color indexed="8"/>
      </bottom>
      <diagonal/>
    </border>
    <border>
      <left style="thin">
        <color indexed="8"/>
      </left>
      <right style="thin">
        <color indexed="8"/>
      </right>
      <top style="thick">
        <color indexed="8"/>
      </top>
      <bottom style="thin">
        <color indexed="8"/>
      </bottom>
      <diagonal/>
    </border>
    <border>
      <left style="thin">
        <color indexed="8"/>
      </left>
      <right/>
      <top style="thick">
        <color indexed="8"/>
      </top>
      <bottom style="thin">
        <color indexed="8"/>
      </bottom>
      <diagonal/>
    </border>
    <border>
      <left style="thick">
        <color indexed="8"/>
      </left>
      <right style="thin">
        <color indexed="8"/>
      </right>
      <top style="thick">
        <color indexed="8"/>
      </top>
      <bottom style="thin">
        <color indexed="8"/>
      </bottom>
      <diagonal/>
    </border>
    <border>
      <left style="thick">
        <color indexed="8"/>
      </left>
      <right style="thin">
        <color indexed="8"/>
      </right>
      <top style="thin">
        <color indexed="8"/>
      </top>
      <bottom style="thin">
        <color indexed="8"/>
      </bottom>
      <diagonal/>
    </border>
    <border>
      <left style="thick">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0" fontId="14" fillId="0" borderId="0"/>
    <xf numFmtId="43" fontId="14" fillId="0" borderId="0" applyFont="0" applyFill="0" applyBorder="0" applyAlignment="0" applyProtection="0"/>
    <xf numFmtId="9" fontId="14" fillId="0" borderId="0" applyFont="0" applyFill="0" applyBorder="0" applyAlignment="0" applyProtection="0"/>
  </cellStyleXfs>
  <cellXfs count="968">
    <xf numFmtId="0" fontId="0" fillId="0" borderId="0" xfId="0"/>
    <xf numFmtId="0" fontId="0" fillId="0" borderId="2" xfId="0" applyBorder="1"/>
    <xf numFmtId="0" fontId="0" fillId="0" borderId="6" xfId="0" applyBorder="1"/>
    <xf numFmtId="0" fontId="2" fillId="2" borderId="3" xfId="0" applyFont="1" applyFill="1" applyBorder="1" applyAlignment="1">
      <alignment horizontal="center" vertical="center" wrapText="1"/>
    </xf>
    <xf numFmtId="0" fontId="4" fillId="0" borderId="0" xfId="0" applyFont="1" applyBorder="1" applyAlignment="1"/>
    <xf numFmtId="0" fontId="2" fillId="0" borderId="0" xfId="0" applyFont="1" applyBorder="1" applyAlignment="1">
      <alignment horizontal="left"/>
    </xf>
    <xf numFmtId="0" fontId="0" fillId="0" borderId="0" xfId="0" applyBorder="1"/>
    <xf numFmtId="0" fontId="2" fillId="0" borderId="3" xfId="0" applyFont="1" applyBorder="1" applyAlignment="1">
      <alignment horizontal="center"/>
    </xf>
    <xf numFmtId="0" fontId="0" fillId="0" borderId="0" xfId="0" applyBorder="1" applyAlignment="1">
      <alignment horizontal="center"/>
    </xf>
    <xf numFmtId="0" fontId="0" fillId="0" borderId="8" xfId="0" applyBorder="1"/>
    <xf numFmtId="0" fontId="8" fillId="0" borderId="0" xfId="0" applyFont="1" applyBorder="1"/>
    <xf numFmtId="0" fontId="2" fillId="0" borderId="0" xfId="0" applyFont="1" applyBorder="1" applyAlignment="1">
      <alignment horizontal="center"/>
    </xf>
    <xf numFmtId="2" fontId="0" fillId="0" borderId="0" xfId="0" applyNumberFormat="1" applyBorder="1" applyAlignment="1">
      <alignment horizontal="center"/>
    </xf>
    <xf numFmtId="164" fontId="0" fillId="0" borderId="0" xfId="0" applyNumberFormat="1" applyBorder="1" applyAlignment="1">
      <alignment horizontal="center"/>
    </xf>
    <xf numFmtId="0" fontId="8" fillId="0" borderId="0" xfId="0" applyFont="1" applyAlignment="1">
      <alignment horizontal="left"/>
    </xf>
    <xf numFmtId="2" fontId="0" fillId="2" borderId="3" xfId="0" applyNumberFormat="1" applyFill="1" applyBorder="1" applyAlignment="1">
      <alignment horizontal="center"/>
    </xf>
    <xf numFmtId="164" fontId="8" fillId="0" borderId="0" xfId="0" applyNumberFormat="1" applyFont="1" applyBorder="1" applyAlignment="1">
      <alignment horizontal="left"/>
    </xf>
    <xf numFmtId="0" fontId="2" fillId="0" borderId="0" xfId="0" applyFont="1" applyAlignment="1">
      <alignment horizontal="right"/>
    </xf>
    <xf numFmtId="0" fontId="2" fillId="0" borderId="0" xfId="0" applyFont="1"/>
    <xf numFmtId="2" fontId="2" fillId="0" borderId="0" xfId="0" applyNumberFormat="1" applyFont="1" applyBorder="1" applyAlignment="1">
      <alignment horizontal="right"/>
    </xf>
    <xf numFmtId="165" fontId="2" fillId="0" borderId="0" xfId="0" applyNumberFormat="1" applyFont="1" applyBorder="1" applyAlignment="1">
      <alignment horizontal="left"/>
    </xf>
    <xf numFmtId="0" fontId="0" fillId="0" borderId="1" xfId="0" applyBorder="1"/>
    <xf numFmtId="2" fontId="0" fillId="0" borderId="3" xfId="0" applyNumberFormat="1" applyBorder="1" applyAlignment="1">
      <alignment horizontal="center"/>
    </xf>
    <xf numFmtId="0" fontId="0" fillId="0" borderId="3" xfId="0" applyBorder="1" applyAlignment="1">
      <alignment horizontal="center"/>
    </xf>
    <xf numFmtId="0" fontId="0" fillId="0" borderId="3" xfId="0" applyBorder="1"/>
    <xf numFmtId="164" fontId="0" fillId="0" borderId="3" xfId="0" applyNumberFormat="1" applyBorder="1" applyAlignment="1">
      <alignment horizontal="center"/>
    </xf>
    <xf numFmtId="0" fontId="8" fillId="0" borderId="0" xfId="0" applyFont="1" applyBorder="1" applyAlignment="1">
      <alignment vertical="top"/>
    </xf>
    <xf numFmtId="0" fontId="3" fillId="0" borderId="0" xfId="0" applyFont="1" applyBorder="1" applyAlignment="1">
      <alignment horizontal="right"/>
    </xf>
    <xf numFmtId="0" fontId="9" fillId="0" borderId="0" xfId="0" applyFont="1" applyBorder="1" applyAlignment="1">
      <alignment horizontal="right" vertical="top"/>
    </xf>
    <xf numFmtId="0" fontId="0" fillId="0" borderId="0" xfId="0" applyAlignment="1">
      <alignment horizontal="center" vertical="center"/>
    </xf>
    <xf numFmtId="0" fontId="8" fillId="0" borderId="0" xfId="0" applyFont="1" applyBorder="1" applyAlignment="1"/>
    <xf numFmtId="0" fontId="2" fillId="0" borderId="0" xfId="0" applyFont="1" applyAlignment="1">
      <alignment horizontal="center" vertical="center"/>
    </xf>
    <xf numFmtId="0" fontId="2" fillId="0" borderId="0" xfId="0" applyFont="1" applyAlignment="1">
      <alignment horizontal="right" vertical="center" wrapText="1"/>
    </xf>
    <xf numFmtId="2" fontId="2" fillId="0" borderId="1" xfId="0" applyNumberFormat="1" applyFont="1" applyBorder="1" applyAlignment="1">
      <alignment horizontal="right"/>
    </xf>
    <xf numFmtId="2" fontId="2" fillId="0" borderId="9" xfId="0" applyNumberFormat="1" applyFont="1" applyBorder="1" applyAlignment="1">
      <alignment horizontal="right"/>
    </xf>
    <xf numFmtId="164" fontId="2" fillId="0" borderId="0" xfId="0" applyNumberFormat="1" applyFont="1" applyAlignment="1">
      <alignment horizontal="center"/>
    </xf>
    <xf numFmtId="164" fontId="2" fillId="0" borderId="3" xfId="0" applyNumberFormat="1" applyFont="1" applyBorder="1" applyAlignment="1">
      <alignment horizontal="center"/>
    </xf>
    <xf numFmtId="164"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0" fillId="0" borderId="5" xfId="0" applyBorder="1"/>
    <xf numFmtId="0" fontId="0" fillId="0" borderId="0" xfId="0" applyBorder="1" applyAlignment="1">
      <alignment horizontal="right"/>
    </xf>
    <xf numFmtId="0" fontId="2" fillId="0" borderId="0" xfId="0" applyFont="1" applyBorder="1" applyAlignment="1">
      <alignment horizontal="right"/>
    </xf>
    <xf numFmtId="0" fontId="0" fillId="0" borderId="0" xfId="0" applyBorder="1" applyAlignment="1">
      <alignment horizontal="left"/>
    </xf>
    <xf numFmtId="0" fontId="9" fillId="0" borderId="0" xfId="0" applyFont="1" applyBorder="1" applyAlignment="1">
      <alignment horizontal="right"/>
    </xf>
    <xf numFmtId="164" fontId="2" fillId="0" borderId="0" xfId="0" applyNumberFormat="1" applyFont="1" applyBorder="1" applyAlignment="1">
      <alignment horizontal="left"/>
    </xf>
    <xf numFmtId="0" fontId="2" fillId="0" borderId="0" xfId="0" applyFont="1" applyBorder="1" applyAlignment="1">
      <alignment horizontal="center" vertical="center" wrapText="1"/>
    </xf>
    <xf numFmtId="2" fontId="2" fillId="0" borderId="0" xfId="0" applyNumberFormat="1" applyFont="1" applyBorder="1" applyAlignment="1">
      <alignment horizontal="left"/>
    </xf>
    <xf numFmtId="164" fontId="0" fillId="0" borderId="0" xfId="0" applyNumberFormat="1" applyBorder="1"/>
    <xf numFmtId="0" fontId="16" fillId="2" borderId="0" xfId="0" applyFont="1" applyFill="1" applyBorder="1"/>
    <xf numFmtId="0" fontId="8" fillId="2" borderId="0" xfId="0" applyFont="1" applyFill="1" applyBorder="1"/>
    <xf numFmtId="0" fontId="3" fillId="2" borderId="0" xfId="0" applyFont="1" applyFill="1" applyBorder="1"/>
    <xf numFmtId="0" fontId="0" fillId="2" borderId="0" xfId="0" applyFill="1" applyBorder="1"/>
    <xf numFmtId="164" fontId="2" fillId="0" borderId="3" xfId="0" applyNumberFormat="1" applyFont="1" applyFill="1" applyBorder="1" applyAlignment="1">
      <alignment horizontal="center" vertical="center"/>
    </xf>
    <xf numFmtId="0" fontId="2" fillId="0" borderId="3" xfId="0" applyFont="1" applyBorder="1" applyAlignment="1">
      <alignment horizontal="right"/>
    </xf>
    <xf numFmtId="0" fontId="2" fillId="0" borderId="3" xfId="0" applyFont="1" applyBorder="1"/>
    <xf numFmtId="0" fontId="2" fillId="0" borderId="3" xfId="0" applyFont="1" applyFill="1" applyBorder="1"/>
    <xf numFmtId="0" fontId="2" fillId="0" borderId="13" xfId="0" applyFont="1" applyBorder="1" applyAlignment="1">
      <alignment horizontal="center" vertical="center"/>
    </xf>
    <xf numFmtId="2" fontId="0" fillId="0" borderId="13" xfId="0" applyNumberFormat="1" applyBorder="1" applyAlignment="1">
      <alignment horizontal="center"/>
    </xf>
    <xf numFmtId="0" fontId="0" fillId="0" borderId="13" xfId="0" applyBorder="1" applyAlignment="1">
      <alignment horizontal="center"/>
    </xf>
    <xf numFmtId="0" fontId="16" fillId="4" borderId="0" xfId="0" applyFont="1" applyFill="1"/>
    <xf numFmtId="0" fontId="0" fillId="2" borderId="0" xfId="0" applyFill="1"/>
    <xf numFmtId="164" fontId="2" fillId="0" borderId="12" xfId="0" applyNumberFormat="1" applyFont="1" applyFill="1" applyBorder="1" applyAlignment="1">
      <alignment horizontal="center" vertical="center"/>
    </xf>
    <xf numFmtId="164" fontId="2" fillId="0" borderId="12" xfId="0" applyNumberFormat="1" applyFont="1" applyBorder="1" applyAlignment="1">
      <alignment horizontal="center" vertical="center"/>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0" xfId="0" applyFont="1" applyBorder="1" applyAlignment="1">
      <alignment horizontal="center" wrapText="1"/>
    </xf>
    <xf numFmtId="1" fontId="2" fillId="0" borderId="0" xfId="0" applyNumberFormat="1" applyFont="1" applyBorder="1" applyAlignment="1">
      <alignment horizontal="left"/>
    </xf>
    <xf numFmtId="1" fontId="2" fillId="0" borderId="0" xfId="0" applyNumberFormat="1" applyFont="1" applyAlignment="1">
      <alignment horizontal="left"/>
    </xf>
    <xf numFmtId="0" fontId="2" fillId="2" borderId="1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2" xfId="0" applyFont="1" applyFill="1" applyBorder="1" applyAlignment="1">
      <alignment horizontal="center" vertical="center" wrapText="1"/>
    </xf>
    <xf numFmtId="2" fontId="18" fillId="2" borderId="12" xfId="0" applyNumberFormat="1" applyFont="1" applyFill="1" applyBorder="1" applyAlignment="1">
      <alignment horizontal="left"/>
    </xf>
    <xf numFmtId="0" fontId="19" fillId="2" borderId="9" xfId="0" applyFont="1" applyFill="1" applyBorder="1"/>
    <xf numFmtId="0" fontId="19" fillId="2" borderId="9" xfId="0" applyFont="1" applyFill="1" applyBorder="1" applyAlignment="1">
      <alignment horizontal="center"/>
    </xf>
    <xf numFmtId="0" fontId="0" fillId="2" borderId="10" xfId="0" applyFill="1" applyBorder="1"/>
    <xf numFmtId="2" fontId="0" fillId="2" borderId="9" xfId="0" applyNumberFormat="1" applyFill="1" applyBorder="1" applyAlignment="1">
      <alignment horizontal="center"/>
    </xf>
    <xf numFmtId="0" fontId="0" fillId="2" borderId="9" xfId="0" applyFill="1" applyBorder="1" applyAlignment="1">
      <alignment horizontal="center"/>
    </xf>
    <xf numFmtId="0" fontId="2" fillId="2" borderId="5"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7" xfId="0" applyFont="1" applyBorder="1" applyAlignment="1">
      <alignment horizontal="right"/>
    </xf>
    <xf numFmtId="2" fontId="2" fillId="0" borderId="3" xfId="0" applyNumberFormat="1" applyFont="1" applyFill="1" applyBorder="1" applyAlignment="1">
      <alignment horizontal="right"/>
    </xf>
    <xf numFmtId="0" fontId="0" fillId="2" borderId="9" xfId="0" applyFill="1" applyBorder="1"/>
    <xf numFmtId="2" fontId="2" fillId="0" borderId="3" xfId="0" applyNumberFormat="1" applyFont="1" applyBorder="1" applyAlignment="1">
      <alignment horizontal="right"/>
    </xf>
    <xf numFmtId="0" fontId="21" fillId="0" borderId="0" xfId="0" applyFont="1"/>
    <xf numFmtId="2" fontId="2" fillId="5" borderId="3" xfId="0" applyNumberFormat="1" applyFont="1" applyFill="1" applyBorder="1" applyAlignment="1">
      <alignment horizontal="right"/>
    </xf>
    <xf numFmtId="164" fontId="2" fillId="5" borderId="3" xfId="0" applyNumberFormat="1" applyFont="1" applyFill="1" applyBorder="1" applyAlignment="1">
      <alignment horizontal="center"/>
    </xf>
    <xf numFmtId="164" fontId="2" fillId="0" borderId="0" xfId="0" applyNumberFormat="1" applyFont="1" applyFill="1" applyBorder="1" applyAlignment="1">
      <alignment horizontal="center"/>
    </xf>
    <xf numFmtId="0" fontId="2" fillId="2" borderId="3" xfId="0" applyFont="1" applyFill="1" applyBorder="1" applyAlignment="1">
      <alignment horizontal="center" vertical="center"/>
    </xf>
    <xf numFmtId="0" fontId="15" fillId="2" borderId="12" xfId="0" applyFont="1" applyFill="1" applyBorder="1" applyAlignment="1">
      <alignment vertical="center"/>
    </xf>
    <xf numFmtId="2" fontId="2" fillId="0" borderId="0" xfId="0" applyNumberFormat="1" applyFont="1" applyFill="1" applyBorder="1" applyAlignment="1">
      <alignment horizontal="left"/>
    </xf>
    <xf numFmtId="0" fontId="15" fillId="2" borderId="12" xfId="0" applyFont="1" applyFill="1" applyBorder="1"/>
    <xf numFmtId="0" fontId="2" fillId="0" borderId="13" xfId="0" applyFont="1" applyBorder="1" applyAlignment="1">
      <alignment horizontal="center"/>
    </xf>
    <xf numFmtId="0" fontId="15" fillId="2" borderId="12" xfId="0" applyFont="1" applyFill="1" applyBorder="1" applyAlignment="1">
      <alignment horizontal="left"/>
    </xf>
    <xf numFmtId="2" fontId="22" fillId="2" borderId="9" xfId="0" applyNumberFormat="1" applyFont="1" applyFill="1" applyBorder="1" applyAlignment="1">
      <alignment horizontal="center"/>
    </xf>
    <xf numFmtId="0" fontId="22" fillId="2" borderId="9" xfId="0" applyFont="1" applyFill="1" applyBorder="1"/>
    <xf numFmtId="0" fontId="22" fillId="2" borderId="10" xfId="0" applyFont="1" applyFill="1" applyBorder="1"/>
    <xf numFmtId="0" fontId="2" fillId="2" borderId="14" xfId="0" applyFont="1" applyFill="1" applyBorder="1" applyAlignment="1">
      <alignment horizontal="right" wrapText="1"/>
    </xf>
    <xf numFmtId="165" fontId="0" fillId="0" borderId="0" xfId="0" applyNumberFormat="1"/>
    <xf numFmtId="2" fontId="0" fillId="0" borderId="3" xfId="1" applyNumberFormat="1" applyFont="1" applyBorder="1" applyAlignment="1">
      <alignment horizontal="center"/>
    </xf>
    <xf numFmtId="10" fontId="0" fillId="0" borderId="3" xfId="1" applyNumberFormat="1" applyFont="1" applyBorder="1" applyAlignment="1">
      <alignment horizontal="center"/>
    </xf>
    <xf numFmtId="0" fontId="2" fillId="0" borderId="4" xfId="0" applyFont="1" applyBorder="1" applyAlignment="1" applyProtection="1">
      <alignment horizontal="right" vertical="center" wrapText="1"/>
    </xf>
    <xf numFmtId="0" fontId="2" fillId="0" borderId="5" xfId="0" applyFont="1" applyBorder="1" applyAlignment="1" applyProtection="1">
      <alignment horizontal="center"/>
    </xf>
    <xf numFmtId="0" fontId="2" fillId="0" borderId="5" xfId="0" applyFont="1" applyBorder="1" applyProtection="1"/>
    <xf numFmtId="0" fontId="0" fillId="0" borderId="5" xfId="0" applyBorder="1" applyProtection="1"/>
    <xf numFmtId="0" fontId="2" fillId="0" borderId="5" xfId="0" applyFont="1" applyBorder="1" applyAlignment="1" applyProtection="1">
      <alignment horizontal="right"/>
    </xf>
    <xf numFmtId="0" fontId="2" fillId="0" borderId="7" xfId="0" applyFont="1" applyBorder="1" applyAlignment="1" applyProtection="1">
      <alignment horizontal="right"/>
    </xf>
    <xf numFmtId="0" fontId="2" fillId="0" borderId="0" xfId="0" applyFont="1" applyBorder="1" applyAlignment="1" applyProtection="1">
      <alignment horizontal="center"/>
    </xf>
    <xf numFmtId="0" fontId="2" fillId="0" borderId="0" xfId="0" applyFont="1" applyBorder="1" applyProtection="1"/>
    <xf numFmtId="0" fontId="0" fillId="0" borderId="0" xfId="0" applyBorder="1" applyProtection="1"/>
    <xf numFmtId="0" fontId="2" fillId="0" borderId="0" xfId="0" applyFont="1" applyBorder="1" applyAlignment="1" applyProtection="1">
      <alignment horizontal="right"/>
    </xf>
    <xf numFmtId="2" fontId="2" fillId="0" borderId="0" xfId="0" applyNumberFormat="1" applyFont="1" applyBorder="1" applyAlignment="1" applyProtection="1">
      <alignment horizontal="center"/>
    </xf>
    <xf numFmtId="164" fontId="2" fillId="0" borderId="0" xfId="0" applyNumberFormat="1" applyFont="1" applyBorder="1" applyAlignment="1" applyProtection="1">
      <alignment horizontal="center"/>
    </xf>
    <xf numFmtId="0" fontId="2" fillId="0" borderId="11" xfId="0" applyFont="1" applyBorder="1" applyAlignment="1" applyProtection="1">
      <alignment horizontal="right"/>
    </xf>
    <xf numFmtId="0" fontId="2" fillId="0" borderId="1" xfId="0" applyFont="1" applyBorder="1" applyAlignment="1" applyProtection="1">
      <alignment horizontal="center"/>
    </xf>
    <xf numFmtId="164" fontId="2" fillId="0" borderId="1" xfId="0" applyNumberFormat="1" applyFont="1" applyBorder="1" applyAlignment="1" applyProtection="1">
      <alignment horizontal="center"/>
    </xf>
    <xf numFmtId="0" fontId="0" fillId="0" borderId="1" xfId="0" applyBorder="1" applyProtection="1"/>
    <xf numFmtId="0" fontId="8" fillId="0" borderId="0" xfId="0" applyFont="1" applyFill="1" applyBorder="1"/>
    <xf numFmtId="0" fontId="8" fillId="0" borderId="0" xfId="0" applyFont="1" applyFill="1" applyBorder="1" applyAlignment="1">
      <alignment vertical="top"/>
    </xf>
    <xf numFmtId="0" fontId="2" fillId="2" borderId="12" xfId="0" applyFont="1" applyFill="1" applyBorder="1" applyAlignment="1">
      <alignment horizontal="center" vertical="center"/>
    </xf>
    <xf numFmtId="0" fontId="2" fillId="2" borderId="12" xfId="0" applyFont="1" applyFill="1" applyBorder="1" applyAlignment="1">
      <alignment horizontal="center"/>
    </xf>
    <xf numFmtId="2" fontId="2" fillId="2" borderId="9" xfId="0" applyNumberFormat="1" applyFont="1" applyFill="1" applyBorder="1" applyAlignment="1">
      <alignment horizontal="right"/>
    </xf>
    <xf numFmtId="2" fontId="2" fillId="2" borderId="9" xfId="0" applyNumberFormat="1" applyFont="1" applyFill="1" applyBorder="1" applyAlignment="1">
      <alignment horizontal="center"/>
    </xf>
    <xf numFmtId="2" fontId="0" fillId="2" borderId="10" xfId="0" applyNumberFormat="1" applyFill="1" applyBorder="1" applyAlignment="1">
      <alignment horizontal="center"/>
    </xf>
    <xf numFmtId="10" fontId="0" fillId="2" borderId="9" xfId="1" applyNumberFormat="1" applyFont="1" applyFill="1" applyBorder="1" applyAlignment="1">
      <alignment horizontal="center"/>
    </xf>
    <xf numFmtId="0" fontId="2" fillId="2" borderId="9" xfId="0" applyFont="1" applyFill="1" applyBorder="1" applyAlignment="1">
      <alignment horizontal="center"/>
    </xf>
    <xf numFmtId="0" fontId="2" fillId="2" borderId="3" xfId="0" applyFont="1" applyFill="1" applyBorder="1" applyAlignment="1">
      <alignment horizontal="center" wrapText="1"/>
    </xf>
    <xf numFmtId="0" fontId="2" fillId="2" borderId="3" xfId="0" applyFont="1" applyFill="1" applyBorder="1" applyAlignment="1">
      <alignment horizontal="center"/>
    </xf>
    <xf numFmtId="0" fontId="2" fillId="0" borderId="0" xfId="0" applyFont="1" applyFill="1" applyBorder="1" applyAlignment="1">
      <alignment horizontal="center" vertical="center"/>
    </xf>
    <xf numFmtId="2" fontId="2" fillId="2" borderId="9" xfId="0" applyNumberFormat="1" applyFont="1" applyFill="1" applyBorder="1" applyAlignment="1">
      <alignment horizontal="center" vertical="center"/>
    </xf>
    <xf numFmtId="0" fontId="0" fillId="0" borderId="0" xfId="0" applyAlignment="1">
      <alignment horizontal="center"/>
    </xf>
    <xf numFmtId="2" fontId="0" fillId="0" borderId="0" xfId="1" applyNumberFormat="1" applyFont="1" applyBorder="1" applyAlignment="1">
      <alignment horizontal="center"/>
    </xf>
    <xf numFmtId="165" fontId="0" fillId="0" borderId="0" xfId="0" applyNumberFormat="1" applyBorder="1" applyAlignment="1">
      <alignment horizontal="center"/>
    </xf>
    <xf numFmtId="10" fontId="0" fillId="0" borderId="0" xfId="1" applyNumberFormat="1" applyFont="1" applyBorder="1" applyAlignment="1">
      <alignment horizontal="center"/>
    </xf>
    <xf numFmtId="2" fontId="2" fillId="2" borderId="9" xfId="0" applyNumberFormat="1"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0" fillId="0" borderId="0" xfId="0" applyFill="1" applyBorder="1"/>
    <xf numFmtId="0" fontId="8" fillId="0" borderId="0" xfId="0" applyFont="1" applyFill="1" applyBorder="1" applyAlignment="1">
      <alignment vertical="center"/>
    </xf>
    <xf numFmtId="0" fontId="0" fillId="0" borderId="0" xfId="0" applyAlignment="1">
      <alignment vertical="center"/>
    </xf>
    <xf numFmtId="0" fontId="8" fillId="0" borderId="0" xfId="0" applyFont="1"/>
    <xf numFmtId="0" fontId="3" fillId="0" borderId="0" xfId="0" applyFont="1" applyAlignment="1">
      <alignment vertical="center"/>
    </xf>
    <xf numFmtId="164" fontId="8" fillId="0" borderId="0" xfId="0" applyNumberFormat="1" applyFont="1" applyFill="1" applyAlignment="1">
      <alignment horizontal="center"/>
    </xf>
    <xf numFmtId="0" fontId="3" fillId="0" borderId="0" xfId="0" applyFont="1" applyFill="1"/>
    <xf numFmtId="0" fontId="3" fillId="0" borderId="0" xfId="0" applyFont="1"/>
    <xf numFmtId="0" fontId="8" fillId="0" borderId="0" xfId="0" applyFont="1" applyAlignment="1">
      <alignment horizontal="center"/>
    </xf>
    <xf numFmtId="0" fontId="8" fillId="0" borderId="0" xfId="0" applyFont="1" applyFill="1"/>
    <xf numFmtId="164" fontId="8" fillId="0" borderId="0" xfId="0" applyNumberFormat="1" applyFont="1" applyAlignment="1">
      <alignment horizontal="center"/>
    </xf>
    <xf numFmtId="0" fontId="8" fillId="0" borderId="1" xfId="0" applyFont="1" applyBorder="1"/>
    <xf numFmtId="164" fontId="8" fillId="0" borderId="1" xfId="0" applyNumberFormat="1" applyFont="1" applyBorder="1" applyAlignment="1">
      <alignment horizontal="center"/>
    </xf>
    <xf numFmtId="0" fontId="8" fillId="0" borderId="1" xfId="0" applyFont="1" applyBorder="1" applyAlignment="1">
      <alignment horizontal="center"/>
    </xf>
    <xf numFmtId="1" fontId="8" fillId="0" borderId="0" xfId="0" applyNumberFormat="1" applyFont="1" applyFill="1" applyAlignment="1">
      <alignment horizontal="center"/>
    </xf>
    <xf numFmtId="0" fontId="2" fillId="0" borderId="3" xfId="0" applyFont="1" applyFill="1" applyBorder="1" applyAlignment="1">
      <alignment horizontal="right"/>
    </xf>
    <xf numFmtId="164" fontId="0" fillId="0" borderId="3" xfId="0" applyNumberFormat="1" applyFont="1" applyFill="1" applyBorder="1" applyAlignment="1">
      <alignment horizontal="center" vertical="center" wrapText="1"/>
    </xf>
    <xf numFmtId="0" fontId="8" fillId="0" borderId="0" xfId="0" applyFont="1" applyAlignment="1">
      <alignment horizontal="left" vertical="center"/>
    </xf>
    <xf numFmtId="0" fontId="3" fillId="2" borderId="0" xfId="0" applyFont="1" applyFill="1" applyAlignment="1">
      <alignment horizontal="center" vertical="center" wrapText="1"/>
    </xf>
    <xf numFmtId="0" fontId="0" fillId="0" borderId="9" xfId="0" applyBorder="1"/>
    <xf numFmtId="0" fontId="0" fillId="0" borderId="0" xfId="0" applyAlignment="1">
      <alignment horizontal="right"/>
    </xf>
    <xf numFmtId="0" fontId="2" fillId="2" borderId="3" xfId="0" applyFont="1" applyFill="1" applyBorder="1" applyAlignment="1">
      <alignment horizontal="right" vertical="center"/>
    </xf>
    <xf numFmtId="2" fontId="2" fillId="2" borderId="12" xfId="0" applyNumberFormat="1" applyFont="1" applyFill="1" applyBorder="1" applyAlignment="1">
      <alignment vertical="center"/>
    </xf>
    <xf numFmtId="0" fontId="2" fillId="0" borderId="1" xfId="0" applyFont="1" applyBorder="1" applyAlignment="1">
      <alignment horizontal="right"/>
    </xf>
    <xf numFmtId="0" fontId="2" fillId="0" borderId="1" xfId="0" applyFont="1" applyBorder="1"/>
    <xf numFmtId="0" fontId="0" fillId="0" borderId="12" xfId="0" applyBorder="1"/>
    <xf numFmtId="0" fontId="2" fillId="0" borderId="9" xfId="0" applyFont="1" applyBorder="1" applyAlignment="1">
      <alignment horizontal="right"/>
    </xf>
    <xf numFmtId="0" fontId="2" fillId="2" borderId="10" xfId="0" applyFont="1" applyFill="1" applyBorder="1" applyAlignment="1">
      <alignment horizontal="center" vertical="center"/>
    </xf>
    <xf numFmtId="0" fontId="0" fillId="0" borderId="12" xfId="0" applyBorder="1" applyAlignment="1">
      <alignment vertical="center"/>
    </xf>
    <xf numFmtId="0" fontId="0" fillId="0" borderId="10" xfId="0" applyBorder="1" applyAlignment="1">
      <alignment horizontal="right" vertical="center"/>
    </xf>
    <xf numFmtId="0" fontId="0" fillId="0" borderId="10" xfId="0" applyBorder="1" applyAlignment="1">
      <alignment horizontal="center" vertical="center"/>
    </xf>
    <xf numFmtId="0" fontId="0" fillId="0" borderId="3" xfId="0" applyBorder="1" applyAlignment="1">
      <alignment horizontal="center" vertical="center"/>
    </xf>
    <xf numFmtId="2" fontId="0" fillId="0" borderId="3" xfId="0" applyNumberFormat="1" applyBorder="1" applyAlignment="1">
      <alignment horizontal="center" vertical="center"/>
    </xf>
    <xf numFmtId="0" fontId="0" fillId="2" borderId="12" xfId="0" applyFill="1" applyBorder="1"/>
    <xf numFmtId="0" fontId="2" fillId="0" borderId="0" xfId="0" applyFont="1" applyFill="1" applyBorder="1" applyAlignment="1">
      <alignment horizontal="right"/>
    </xf>
    <xf numFmtId="0" fontId="18" fillId="2" borderId="12" xfId="0" applyFont="1" applyFill="1" applyBorder="1" applyAlignment="1">
      <alignment horizontal="left"/>
    </xf>
    <xf numFmtId="0" fontId="0" fillId="0" borderId="0" xfId="0" applyBorder="1" applyAlignment="1">
      <alignment vertical="center"/>
    </xf>
    <xf numFmtId="0" fontId="0" fillId="0" borderId="0" xfId="0" applyBorder="1" applyAlignment="1">
      <alignment horizontal="right" vertical="center"/>
    </xf>
    <xf numFmtId="0" fontId="0" fillId="0" borderId="0" xfId="0" applyBorder="1" applyAlignment="1">
      <alignment horizontal="center" vertical="center"/>
    </xf>
    <xf numFmtId="13" fontId="0" fillId="0" borderId="0" xfId="0" applyNumberFormat="1" applyBorder="1" applyAlignment="1">
      <alignment horizontal="center" vertical="center"/>
    </xf>
    <xf numFmtId="2" fontId="0" fillId="0" borderId="0" xfId="0" applyNumberFormat="1" applyBorder="1" applyAlignment="1">
      <alignment horizontal="center" vertical="center"/>
    </xf>
    <xf numFmtId="0" fontId="0" fillId="0" borderId="5" xfId="0" applyBorder="1" applyAlignment="1">
      <alignment vertical="top" wrapText="1"/>
    </xf>
    <xf numFmtId="0" fontId="0" fillId="0" borderId="0" xfId="0" applyBorder="1" applyAlignment="1">
      <alignment vertical="top" wrapText="1"/>
    </xf>
    <xf numFmtId="0" fontId="0" fillId="0" borderId="15" xfId="0" applyBorder="1" applyAlignment="1">
      <alignment horizontal="center"/>
    </xf>
    <xf numFmtId="0" fontId="0" fillId="0" borderId="14" xfId="0" applyBorder="1" applyAlignment="1">
      <alignment horizontal="center"/>
    </xf>
    <xf numFmtId="14" fontId="0" fillId="0" borderId="13" xfId="0" applyNumberFormat="1" applyBorder="1" applyAlignment="1">
      <alignment horizontal="center"/>
    </xf>
    <xf numFmtId="0" fontId="0" fillId="0" borderId="13" xfId="0" applyBorder="1" applyAlignment="1">
      <alignment horizontal="center" vertical="top"/>
    </xf>
    <xf numFmtId="0" fontId="0" fillId="0" borderId="15" xfId="0" applyBorder="1" applyAlignment="1">
      <alignment horizontal="center" vertical="top"/>
    </xf>
    <xf numFmtId="0" fontId="18" fillId="2" borderId="3" xfId="0" applyFont="1" applyFill="1" applyBorder="1" applyAlignment="1">
      <alignment horizontal="center" vertical="center"/>
    </xf>
    <xf numFmtId="164" fontId="2" fillId="0" borderId="0" xfId="0" applyNumberFormat="1" applyFont="1" applyBorder="1" applyAlignment="1">
      <alignment horizontal="center"/>
    </xf>
    <xf numFmtId="0" fontId="2" fillId="0" borderId="4" xfId="0" applyFont="1" applyBorder="1"/>
    <xf numFmtId="14" fontId="0" fillId="0" borderId="13" xfId="0" applyNumberFormat="1" applyBorder="1" applyAlignment="1">
      <alignment horizontal="center" vertical="top"/>
    </xf>
    <xf numFmtId="0" fontId="0" fillId="0" borderId="13" xfId="0" applyBorder="1" applyAlignment="1">
      <alignment vertical="top" wrapText="1"/>
    </xf>
    <xf numFmtId="0" fontId="0" fillId="0" borderId="14" xfId="0" applyBorder="1" applyAlignment="1">
      <alignment wrapText="1"/>
    </xf>
    <xf numFmtId="0" fontId="0" fillId="0" borderId="14" xfId="0" applyFill="1" applyBorder="1" applyAlignment="1">
      <alignment horizontal="center" vertical="top"/>
    </xf>
    <xf numFmtId="0" fontId="2" fillId="0" borderId="11" xfId="0" applyFont="1" applyBorder="1" applyAlignment="1">
      <alignment horizontal="right"/>
    </xf>
    <xf numFmtId="0" fontId="2" fillId="0" borderId="2" xfId="0" applyFont="1" applyFill="1" applyBorder="1" applyAlignment="1">
      <alignment horizontal="left"/>
    </xf>
    <xf numFmtId="2" fontId="0" fillId="2" borderId="3" xfId="1" applyNumberFormat="1" applyFont="1" applyFill="1" applyBorder="1" applyAlignment="1">
      <alignment horizontal="center"/>
    </xf>
    <xf numFmtId="0" fontId="27" fillId="0" borderId="0" xfId="0" applyFont="1"/>
    <xf numFmtId="14" fontId="0" fillId="0" borderId="3" xfId="0" applyNumberFormat="1" applyBorder="1" applyAlignment="1">
      <alignment horizontal="center"/>
    </xf>
    <xf numFmtId="0" fontId="0" fillId="0" borderId="3" xfId="0" applyBorder="1" applyAlignment="1">
      <alignment wrapText="1"/>
    </xf>
    <xf numFmtId="0" fontId="0" fillId="0" borderId="3" xfId="0" applyFill="1" applyBorder="1" applyAlignment="1">
      <alignment horizontal="center" vertical="top"/>
    </xf>
    <xf numFmtId="164" fontId="2" fillId="2" borderId="9" xfId="0" applyNumberFormat="1" applyFont="1" applyFill="1" applyBorder="1" applyAlignment="1">
      <alignment horizontal="center"/>
    </xf>
    <xf numFmtId="2" fontId="2" fillId="2" borderId="9" xfId="0" applyNumberFormat="1" applyFont="1" applyFill="1" applyBorder="1" applyAlignment="1">
      <alignment horizontal="left"/>
    </xf>
    <xf numFmtId="0" fontId="2" fillId="8" borderId="3" xfId="0" applyFont="1" applyFill="1" applyBorder="1" applyAlignment="1">
      <alignment horizontal="center" vertical="center"/>
    </xf>
    <xf numFmtId="2" fontId="0" fillId="8" borderId="3" xfId="0" applyNumberFormat="1" applyFill="1" applyBorder="1" applyAlignment="1">
      <alignment horizontal="center"/>
    </xf>
    <xf numFmtId="0" fontId="0" fillId="8" borderId="3" xfId="0" applyFill="1" applyBorder="1"/>
    <xf numFmtId="0" fontId="2" fillId="8" borderId="3" xfId="0" applyFont="1" applyFill="1" applyBorder="1" applyAlignment="1">
      <alignment horizontal="center"/>
    </xf>
    <xf numFmtId="0" fontId="2" fillId="9" borderId="3" xfId="0" applyFont="1" applyFill="1" applyBorder="1" applyAlignment="1">
      <alignment horizontal="center" vertical="center"/>
    </xf>
    <xf numFmtId="2" fontId="0" fillId="9" borderId="14" xfId="0" applyNumberFormat="1" applyFill="1" applyBorder="1" applyAlignment="1">
      <alignment horizontal="center"/>
    </xf>
    <xf numFmtId="2" fontId="0" fillId="9" borderId="3" xfId="0" applyNumberFormat="1" applyFill="1" applyBorder="1" applyAlignment="1">
      <alignment horizontal="center"/>
    </xf>
    <xf numFmtId="0" fontId="2" fillId="9" borderId="13" xfId="0" applyFont="1" applyFill="1" applyBorder="1" applyAlignment="1">
      <alignment horizontal="center" vertical="center"/>
    </xf>
    <xf numFmtId="0" fontId="2" fillId="9" borderId="13" xfId="0" applyFont="1" applyFill="1" applyBorder="1" applyAlignment="1">
      <alignment horizontal="center"/>
    </xf>
    <xf numFmtId="2" fontId="28" fillId="2" borderId="9" xfId="0" applyNumberFormat="1" applyFont="1" applyFill="1" applyBorder="1" applyAlignment="1">
      <alignment horizontal="left"/>
    </xf>
    <xf numFmtId="0" fontId="0" fillId="9" borderId="3" xfId="0" applyFill="1" applyBorder="1" applyAlignment="1">
      <alignment horizontal="center"/>
    </xf>
    <xf numFmtId="0" fontId="0" fillId="9" borderId="12" xfId="0" applyFill="1" applyBorder="1" applyAlignment="1">
      <alignment horizontal="center"/>
    </xf>
    <xf numFmtId="0" fontId="0" fillId="9" borderId="3" xfId="0" applyFill="1" applyBorder="1"/>
    <xf numFmtId="0" fontId="0" fillId="9" borderId="10" xfId="0" applyFill="1" applyBorder="1" applyAlignment="1">
      <alignment horizontal="center"/>
    </xf>
    <xf numFmtId="2" fontId="0" fillId="9" borderId="12" xfId="0" applyNumberFormat="1" applyFill="1" applyBorder="1" applyAlignment="1">
      <alignment horizontal="center"/>
    </xf>
    <xf numFmtId="2" fontId="0" fillId="9" borderId="13" xfId="0" applyNumberFormat="1" applyFill="1" applyBorder="1" applyAlignment="1">
      <alignment horizontal="center"/>
    </xf>
    <xf numFmtId="0" fontId="0" fillId="9" borderId="13" xfId="0" applyFill="1" applyBorder="1" applyAlignment="1">
      <alignment horizontal="center"/>
    </xf>
    <xf numFmtId="0" fontId="2" fillId="9" borderId="3" xfId="0" applyFont="1" applyFill="1" applyBorder="1" applyAlignment="1">
      <alignment horizontal="center"/>
    </xf>
    <xf numFmtId="0" fontId="2" fillId="10" borderId="3" xfId="0" applyFont="1" applyFill="1" applyBorder="1" applyAlignment="1">
      <alignment horizontal="center" vertical="center"/>
    </xf>
    <xf numFmtId="0" fontId="0" fillId="10" borderId="3" xfId="0" applyFill="1" applyBorder="1" applyAlignment="1">
      <alignment horizontal="center"/>
    </xf>
    <xf numFmtId="0" fontId="0" fillId="10" borderId="3" xfId="0" applyFill="1" applyBorder="1"/>
    <xf numFmtId="2" fontId="0" fillId="10" borderId="3" xfId="0" applyNumberFormat="1" applyFill="1" applyBorder="1" applyAlignment="1">
      <alignment horizontal="center"/>
    </xf>
    <xf numFmtId="2" fontId="0" fillId="10" borderId="12" xfId="0" applyNumberFormat="1" applyFill="1" applyBorder="1" applyAlignment="1">
      <alignment horizontal="center"/>
    </xf>
    <xf numFmtId="0" fontId="2" fillId="10" borderId="13" xfId="0" applyFont="1" applyFill="1" applyBorder="1" applyAlignment="1">
      <alignment horizontal="center" vertical="center"/>
    </xf>
    <xf numFmtId="2" fontId="0" fillId="10" borderId="13" xfId="0" applyNumberFormat="1" applyFill="1" applyBorder="1" applyAlignment="1">
      <alignment horizontal="center"/>
    </xf>
    <xf numFmtId="0" fontId="2" fillId="10" borderId="3" xfId="0" applyFont="1" applyFill="1" applyBorder="1" applyAlignment="1">
      <alignment horizontal="center"/>
    </xf>
    <xf numFmtId="2" fontId="0" fillId="8" borderId="12" xfId="0" applyNumberFormat="1" applyFill="1" applyBorder="1" applyAlignment="1">
      <alignment horizontal="center"/>
    </xf>
    <xf numFmtId="2" fontId="0" fillId="8" borderId="10" xfId="0" applyNumberFormat="1" applyFill="1" applyBorder="1" applyAlignment="1">
      <alignment horizontal="center"/>
    </xf>
    <xf numFmtId="0" fontId="0" fillId="8" borderId="3" xfId="0" applyFill="1" applyBorder="1" applyAlignment="1">
      <alignment horizontal="center"/>
    </xf>
    <xf numFmtId="0" fontId="2" fillId="8" borderId="13" xfId="0" applyFont="1" applyFill="1" applyBorder="1" applyAlignment="1">
      <alignment horizontal="center" vertical="center"/>
    </xf>
    <xf numFmtId="2" fontId="0" fillId="8" borderId="13" xfId="0" applyNumberFormat="1" applyFill="1" applyBorder="1" applyAlignment="1">
      <alignment horizontal="center"/>
    </xf>
    <xf numFmtId="2" fontId="0" fillId="8" borderId="4" xfId="0" applyNumberFormat="1" applyFill="1" applyBorder="1" applyAlignment="1">
      <alignment horizontal="center"/>
    </xf>
    <xf numFmtId="0" fontId="0" fillId="8" borderId="13" xfId="0" applyFill="1" applyBorder="1" applyAlignment="1">
      <alignment horizontal="center"/>
    </xf>
    <xf numFmtId="0" fontId="2" fillId="10" borderId="14" xfId="0" applyFont="1" applyFill="1" applyBorder="1" applyAlignment="1">
      <alignment horizontal="center" vertical="center" wrapText="1"/>
    </xf>
    <xf numFmtId="0" fontId="2" fillId="10" borderId="11" xfId="0" applyFont="1" applyFill="1" applyBorder="1" applyAlignment="1">
      <alignment horizontal="center" vertical="center" wrapText="1"/>
    </xf>
    <xf numFmtId="0" fontId="2" fillId="10" borderId="2" xfId="0" applyFont="1" applyFill="1" applyBorder="1" applyAlignment="1">
      <alignment horizontal="center" vertical="center" wrapText="1"/>
    </xf>
    <xf numFmtId="2" fontId="0" fillId="10" borderId="4" xfId="0" applyNumberFormat="1" applyFill="1" applyBorder="1" applyAlignment="1">
      <alignment horizontal="center"/>
    </xf>
    <xf numFmtId="0" fontId="0" fillId="10" borderId="13" xfId="0" applyFill="1" applyBorder="1"/>
    <xf numFmtId="0" fontId="0" fillId="0" borderId="14" xfId="0" applyBorder="1"/>
    <xf numFmtId="0" fontId="0" fillId="0" borderId="13" xfId="0" applyFill="1" applyBorder="1" applyAlignment="1">
      <alignment horizontal="center" vertical="top"/>
    </xf>
    <xf numFmtId="0" fontId="0" fillId="0" borderId="0" xfId="0" applyFill="1" applyBorder="1" applyAlignment="1">
      <alignment horizontal="right"/>
    </xf>
    <xf numFmtId="2" fontId="0" fillId="0" borderId="0" xfId="0" applyNumberFormat="1" applyAlignment="1">
      <alignment horizontal="center"/>
    </xf>
    <xf numFmtId="164" fontId="0" fillId="0" borderId="0" xfId="0" applyNumberFormat="1" applyAlignment="1">
      <alignment horizontal="center"/>
    </xf>
    <xf numFmtId="0" fontId="2" fillId="2" borderId="14" xfId="0" applyNumberFormat="1" applyFont="1" applyFill="1" applyBorder="1" applyAlignment="1">
      <alignment horizontal="center" vertical="center" wrapText="1"/>
    </xf>
    <xf numFmtId="0" fontId="2" fillId="2" borderId="11"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0" borderId="7" xfId="0" applyFont="1" applyBorder="1" applyAlignment="1" applyProtection="1">
      <alignment horizontal="right" vertical="center"/>
    </xf>
    <xf numFmtId="2" fontId="0" fillId="0" borderId="0" xfId="0" applyNumberFormat="1" applyAlignment="1">
      <alignment horizontal="center" vertical="center" wrapText="1"/>
    </xf>
    <xf numFmtId="2" fontId="30" fillId="0" borderId="3" xfId="0" applyNumberFormat="1" applyFont="1" applyFill="1" applyBorder="1" applyAlignment="1">
      <alignment horizontal="center"/>
    </xf>
    <xf numFmtId="2" fontId="30" fillId="0" borderId="3" xfId="0" applyNumberFormat="1" applyFont="1" applyBorder="1" applyAlignment="1">
      <alignment horizontal="center"/>
    </xf>
    <xf numFmtId="164" fontId="8" fillId="0" borderId="0" xfId="0" applyNumberFormat="1" applyFont="1" applyAlignment="1">
      <alignment horizontal="center" vertical="center"/>
    </xf>
    <xf numFmtId="1" fontId="8" fillId="0" borderId="0" xfId="0" applyNumberFormat="1" applyFont="1" applyAlignment="1">
      <alignment horizontal="center"/>
    </xf>
    <xf numFmtId="0" fontId="2" fillId="0" borderId="0" xfId="0" applyFont="1" applyAlignment="1">
      <alignment horizontal="right" vertical="center"/>
    </xf>
    <xf numFmtId="0" fontId="2" fillId="0" borderId="7" xfId="0" applyFont="1" applyBorder="1" applyAlignment="1" applyProtection="1">
      <alignment horizontal="right" vertical="center" wrapText="1"/>
    </xf>
    <xf numFmtId="0" fontId="2" fillId="0" borderId="3" xfId="0" applyFont="1" applyFill="1" applyBorder="1" applyAlignment="1">
      <alignment horizontal="center" vertical="center"/>
    </xf>
    <xf numFmtId="2" fontId="2" fillId="0" borderId="3" xfId="0" applyNumberFormat="1" applyFont="1" applyFill="1" applyBorder="1" applyAlignment="1">
      <alignment horizontal="center" vertical="center"/>
    </xf>
    <xf numFmtId="0" fontId="2" fillId="0" borderId="3" xfId="0" applyFont="1" applyFill="1" applyBorder="1" applyAlignment="1">
      <alignment horizontal="center"/>
    </xf>
    <xf numFmtId="2" fontId="30" fillId="9" borderId="3" xfId="0" applyNumberFormat="1" applyFont="1" applyFill="1" applyBorder="1" applyAlignment="1">
      <alignment horizontal="center"/>
    </xf>
    <xf numFmtId="2" fontId="30" fillId="8" borderId="3" xfId="0" applyNumberFormat="1" applyFont="1" applyFill="1" applyBorder="1" applyAlignment="1">
      <alignment horizontal="center"/>
    </xf>
    <xf numFmtId="0" fontId="31" fillId="2" borderId="3" xfId="0" applyFont="1" applyFill="1" applyBorder="1" applyAlignment="1">
      <alignment horizontal="center" vertical="center"/>
    </xf>
    <xf numFmtId="0" fontId="31" fillId="2" borderId="3" xfId="0" applyFont="1" applyFill="1" applyBorder="1" applyAlignment="1">
      <alignment horizontal="center" vertical="center" wrapText="1"/>
    </xf>
    <xf numFmtId="165" fontId="8" fillId="0" borderId="0" xfId="0" applyNumberFormat="1" applyFont="1" applyFill="1" applyAlignment="1">
      <alignment horizontal="center" wrapText="1"/>
    </xf>
    <xf numFmtId="0" fontId="0" fillId="0" borderId="15" xfId="0" applyFill="1" applyBorder="1" applyAlignment="1">
      <alignment horizontal="center" vertical="top"/>
    </xf>
    <xf numFmtId="0" fontId="0" fillId="6" borderId="0" xfId="0" applyFill="1" applyBorder="1"/>
    <xf numFmtId="164" fontId="0" fillId="6" borderId="3" xfId="0" applyNumberFormat="1" applyFill="1" applyBorder="1" applyAlignment="1">
      <alignment horizontal="center" vertical="center"/>
    </xf>
    <xf numFmtId="0" fontId="0" fillId="6" borderId="3" xfId="0" applyFill="1" applyBorder="1" applyAlignment="1">
      <alignment horizontal="center" vertical="center"/>
    </xf>
    <xf numFmtId="0" fontId="0" fillId="6" borderId="12" xfId="0" applyFill="1" applyBorder="1" applyAlignment="1">
      <alignment horizontal="center" vertical="center"/>
    </xf>
    <xf numFmtId="0" fontId="0" fillId="0" borderId="7" xfId="0" applyBorder="1"/>
    <xf numFmtId="2" fontId="0" fillId="0" borderId="0" xfId="0" applyNumberFormat="1" applyFill="1" applyBorder="1" applyAlignment="1">
      <alignment horizontal="center"/>
    </xf>
    <xf numFmtId="0" fontId="0" fillId="0" borderId="11" xfId="0" applyBorder="1" applyAlignment="1">
      <alignment horizontal="right"/>
    </xf>
    <xf numFmtId="0" fontId="0" fillId="0" borderId="7" xfId="0" applyBorder="1" applyAlignment="1">
      <alignment horizontal="right"/>
    </xf>
    <xf numFmtId="2" fontId="0" fillId="0" borderId="0" xfId="0" applyNumberFormat="1" applyFill="1" applyAlignment="1">
      <alignment horizontal="center" vertical="center" wrapText="1"/>
    </xf>
    <xf numFmtId="2" fontId="2" fillId="0" borderId="0" xfId="0" applyNumberFormat="1" applyFont="1" applyAlignment="1">
      <alignment horizontal="left"/>
    </xf>
    <xf numFmtId="0" fontId="2" fillId="0" borderId="0" xfId="0" applyFont="1" applyAlignment="1">
      <alignment horizontal="left"/>
    </xf>
    <xf numFmtId="0" fontId="0" fillId="0" borderId="15" xfId="0" applyBorder="1"/>
    <xf numFmtId="0" fontId="0" fillId="0" borderId="13" xfId="0" applyBorder="1" applyAlignment="1">
      <alignment wrapText="1"/>
    </xf>
    <xf numFmtId="0" fontId="0" fillId="0" borderId="15" xfId="0" applyBorder="1" applyAlignment="1">
      <alignment wrapText="1"/>
    </xf>
    <xf numFmtId="0" fontId="2" fillId="2" borderId="3" xfId="0" applyFont="1" applyFill="1" applyBorder="1" applyAlignment="1">
      <alignment horizontal="center" vertical="center" wrapText="1"/>
    </xf>
    <xf numFmtId="164" fontId="0" fillId="0" borderId="0" xfId="0" applyNumberFormat="1" applyFont="1" applyFill="1" applyBorder="1" applyAlignment="1">
      <alignment horizontal="left"/>
    </xf>
    <xf numFmtId="164" fontId="0" fillId="0" borderId="0" xfId="0" applyNumberFormat="1" applyFill="1" applyBorder="1" applyAlignment="1">
      <alignment horizontal="left"/>
    </xf>
    <xf numFmtId="0" fontId="16" fillId="2" borderId="0" xfId="0" applyFont="1" applyFill="1"/>
    <xf numFmtId="164" fontId="0" fillId="2" borderId="0" xfId="0" applyNumberFormat="1" applyFill="1" applyBorder="1" applyAlignment="1">
      <alignment horizontal="center"/>
    </xf>
    <xf numFmtId="0" fontId="0" fillId="0" borderId="14" xfId="0" applyFill="1" applyBorder="1" applyAlignment="1">
      <alignment wrapText="1"/>
    </xf>
    <xf numFmtId="0" fontId="0" fillId="0" borderId="14" xfId="0" applyBorder="1" applyAlignment="1">
      <alignment horizontal="center" vertical="top"/>
    </xf>
    <xf numFmtId="0" fontId="23" fillId="2" borderId="9" xfId="0" applyFont="1" applyFill="1" applyBorder="1" applyAlignment="1">
      <alignment vertical="center"/>
    </xf>
    <xf numFmtId="2" fontId="29" fillId="2" borderId="3" xfId="1" applyNumberFormat="1" applyFont="1" applyFill="1" applyBorder="1" applyAlignment="1">
      <alignment horizontal="center"/>
    </xf>
    <xf numFmtId="0" fontId="2" fillId="2" borderId="3" xfId="0" applyFont="1" applyFill="1" applyBorder="1" applyAlignment="1">
      <alignment horizontal="center" vertical="center" wrapText="1"/>
    </xf>
    <xf numFmtId="167" fontId="0" fillId="0" borderId="0" xfId="0" applyNumberFormat="1" applyBorder="1" applyAlignment="1">
      <alignment horizontal="center"/>
    </xf>
    <xf numFmtId="165" fontId="0" fillId="8" borderId="3" xfId="0" applyNumberFormat="1" applyFill="1" applyBorder="1" applyAlignment="1">
      <alignment horizontal="center"/>
    </xf>
    <xf numFmtId="165" fontId="0" fillId="9" borderId="14" xfId="0" applyNumberFormat="1" applyFill="1" applyBorder="1" applyAlignment="1">
      <alignment horizontal="center"/>
    </xf>
    <xf numFmtId="165" fontId="0" fillId="9" borderId="3" xfId="0" applyNumberFormat="1" applyFill="1" applyBorder="1" applyAlignment="1">
      <alignment horizontal="center"/>
    </xf>
    <xf numFmtId="165" fontId="30" fillId="9" borderId="3" xfId="0" applyNumberFormat="1" applyFont="1" applyFill="1" applyBorder="1" applyAlignment="1">
      <alignment horizontal="center"/>
    </xf>
    <xf numFmtId="165" fontId="0" fillId="0" borderId="0" xfId="0" applyNumberFormat="1" applyFill="1" applyAlignment="1">
      <alignment horizontal="center" vertical="center" wrapText="1"/>
    </xf>
    <xf numFmtId="0" fontId="0" fillId="0" borderId="2" xfId="0" applyFont="1" applyBorder="1"/>
    <xf numFmtId="0" fontId="0" fillId="0" borderId="10" xfId="0" applyFont="1" applyBorder="1"/>
    <xf numFmtId="165" fontId="2" fillId="0" borderId="8" xfId="0" applyNumberFormat="1" applyFont="1" applyFill="1" applyBorder="1" applyAlignment="1">
      <alignment horizontal="center"/>
    </xf>
    <xf numFmtId="14" fontId="0" fillId="0" borderId="13" xfId="0" applyNumberFormat="1" applyBorder="1" applyAlignment="1">
      <alignment vertical="top"/>
    </xf>
    <xf numFmtId="0" fontId="0" fillId="0" borderId="13" xfId="0" applyFill="1" applyBorder="1" applyAlignment="1">
      <alignment wrapText="1"/>
    </xf>
    <xf numFmtId="0" fontId="0" fillId="0" borderId="15" xfId="0" applyFill="1" applyBorder="1" applyAlignment="1">
      <alignment wrapText="1"/>
    </xf>
    <xf numFmtId="0" fontId="0" fillId="0" borderId="3" xfId="0" applyBorder="1" applyAlignment="1">
      <alignment horizontal="center" vertical="top"/>
    </xf>
    <xf numFmtId="14" fontId="0" fillId="0" borderId="3" xfId="0" applyNumberFormat="1" applyBorder="1" applyAlignment="1">
      <alignment horizontal="center" vertical="top"/>
    </xf>
    <xf numFmtId="0" fontId="0" fillId="0" borderId="3" xfId="0" applyFill="1" applyBorder="1" applyAlignment="1">
      <alignment vertical="top" wrapText="1"/>
    </xf>
    <xf numFmtId="0" fontId="0" fillId="0" borderId="0" xfId="0" applyBorder="1" applyAlignment="1">
      <alignment horizontal="center" vertical="top"/>
    </xf>
    <xf numFmtId="14" fontId="0" fillId="0" borderId="0" xfId="0" applyNumberFormat="1" applyBorder="1" applyAlignment="1">
      <alignment horizontal="center" vertical="top"/>
    </xf>
    <xf numFmtId="0" fontId="0" fillId="0" borderId="0" xfId="0" applyFill="1" applyBorder="1" applyAlignment="1">
      <alignment vertical="top" wrapText="1"/>
    </xf>
    <xf numFmtId="0" fontId="0" fillId="0" borderId="0" xfId="0" applyFill="1" applyBorder="1" applyAlignment="1">
      <alignment horizontal="center" vertical="top"/>
    </xf>
    <xf numFmtId="166" fontId="2" fillId="0" borderId="9" xfId="1" applyNumberFormat="1" applyFont="1" applyBorder="1" applyAlignment="1">
      <alignment horizontal="center"/>
    </xf>
    <xf numFmtId="166" fontId="2" fillId="0" borderId="10" xfId="1" applyNumberFormat="1" applyFont="1" applyBorder="1" applyAlignment="1">
      <alignment horizontal="center"/>
    </xf>
    <xf numFmtId="0" fontId="0" fillId="0" borderId="13" xfId="0" applyFill="1" applyBorder="1" applyAlignment="1">
      <alignment vertical="top" wrapText="1"/>
    </xf>
    <xf numFmtId="0" fontId="2" fillId="2" borderId="1" xfId="0" applyFont="1" applyFill="1" applyBorder="1" applyAlignment="1">
      <alignment horizontal="right" wrapText="1"/>
    </xf>
    <xf numFmtId="164" fontId="2" fillId="2" borderId="14" xfId="0" applyNumberFormat="1" applyFont="1" applyFill="1" applyBorder="1" applyAlignment="1">
      <alignment horizontal="center" vertical="center" wrapText="1"/>
    </xf>
    <xf numFmtId="164" fontId="2" fillId="2" borderId="11" xfId="0" applyNumberFormat="1" applyFont="1" applyFill="1" applyBorder="1" applyAlignment="1">
      <alignment horizontal="center" vertical="center" wrapText="1"/>
    </xf>
    <xf numFmtId="0" fontId="9" fillId="0" borderId="0" xfId="0" applyFont="1" applyAlignment="1">
      <alignment horizontal="center"/>
    </xf>
    <xf numFmtId="165" fontId="0" fillId="0" borderId="0" xfId="0" applyNumberFormat="1" applyAlignment="1">
      <alignment horizontal="center"/>
    </xf>
    <xf numFmtId="9" fontId="0" fillId="0" borderId="0" xfId="0" applyNumberFormat="1" applyBorder="1" applyAlignment="1">
      <alignment horizontal="center"/>
    </xf>
    <xf numFmtId="165" fontId="0" fillId="0" borderId="3" xfId="0" applyNumberFormat="1" applyBorder="1" applyAlignment="1">
      <alignment horizontal="center"/>
    </xf>
    <xf numFmtId="166" fontId="0" fillId="0" borderId="3" xfId="1" applyNumberFormat="1" applyFont="1" applyBorder="1" applyAlignment="1">
      <alignment horizontal="center"/>
    </xf>
    <xf numFmtId="0" fontId="9" fillId="2" borderId="3" xfId="0" applyFont="1" applyFill="1" applyBorder="1" applyAlignment="1">
      <alignment horizontal="center" vertical="center"/>
    </xf>
    <xf numFmtId="0" fontId="0" fillId="2" borderId="1" xfId="0" applyFill="1" applyBorder="1"/>
    <xf numFmtId="0" fontId="0" fillId="2" borderId="2" xfId="0" applyFill="1" applyBorder="1"/>
    <xf numFmtId="14" fontId="0" fillId="0" borderId="15" xfId="0" applyNumberFormat="1" applyBorder="1" applyAlignment="1">
      <alignment horizontal="center" vertical="top"/>
    </xf>
    <xf numFmtId="14" fontId="0" fillId="0" borderId="14" xfId="0" applyNumberFormat="1" applyBorder="1" applyAlignment="1">
      <alignment horizontal="center" vertical="top"/>
    </xf>
    <xf numFmtId="0" fontId="0" fillId="0" borderId="15" xfId="0" applyFill="1" applyBorder="1" applyAlignment="1">
      <alignment vertical="top" wrapText="1"/>
    </xf>
    <xf numFmtId="0" fontId="0" fillId="0" borderId="14" xfId="0" applyFill="1" applyBorder="1" applyAlignment="1">
      <alignment vertical="top" wrapText="1"/>
    </xf>
    <xf numFmtId="0" fontId="2" fillId="0" borderId="7" xfId="0" applyFont="1" applyFill="1" applyBorder="1" applyAlignment="1" applyProtection="1">
      <alignment horizontal="right"/>
    </xf>
    <xf numFmtId="0" fontId="2" fillId="0" borderId="7" xfId="0" applyFont="1" applyFill="1" applyBorder="1" applyAlignment="1" applyProtection="1">
      <alignment horizontal="right" vertical="center"/>
    </xf>
    <xf numFmtId="0" fontId="2" fillId="0" borderId="7" xfId="0" applyFont="1" applyFill="1" applyBorder="1" applyAlignment="1">
      <alignment horizontal="right" vertical="center"/>
    </xf>
    <xf numFmtId="0" fontId="2" fillId="0" borderId="7" xfId="0" applyFont="1" applyBorder="1" applyAlignment="1">
      <alignment horizontal="right" vertical="center"/>
    </xf>
    <xf numFmtId="0" fontId="2" fillId="0" borderId="8" xfId="0" applyFont="1" applyFill="1" applyBorder="1" applyAlignment="1">
      <alignment horizontal="left" vertical="center"/>
    </xf>
    <xf numFmtId="164" fontId="2" fillId="0" borderId="8" xfId="0" applyNumberFormat="1" applyFont="1" applyBorder="1" applyAlignment="1">
      <alignment horizontal="left" vertical="center"/>
    </xf>
    <xf numFmtId="0" fontId="2" fillId="0" borderId="8" xfId="0" applyFont="1" applyFill="1" applyBorder="1" applyAlignment="1">
      <alignment horizontal="left"/>
    </xf>
    <xf numFmtId="0" fontId="2" fillId="0" borderId="8" xfId="0" applyFont="1" applyFill="1" applyBorder="1" applyAlignment="1">
      <alignment horizontal="left" wrapText="1"/>
    </xf>
    <xf numFmtId="0" fontId="2" fillId="0" borderId="8" xfId="0" applyFont="1" applyFill="1" applyBorder="1" applyAlignment="1">
      <alignment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164" fontId="0" fillId="0" borderId="3" xfId="0" applyNumberFormat="1" applyFont="1" applyBorder="1" applyAlignment="1">
      <alignment horizontal="center" wrapText="1"/>
    </xf>
    <xf numFmtId="0" fontId="0" fillId="0" borderId="3" xfId="0" applyFont="1" applyBorder="1" applyAlignment="1">
      <alignment horizontal="center" wrapText="1"/>
    </xf>
    <xf numFmtId="0" fontId="21" fillId="0" borderId="3" xfId="0" applyFont="1" applyBorder="1" applyAlignment="1">
      <alignment horizontal="center" wrapText="1"/>
    </xf>
    <xf numFmtId="0" fontId="0" fillId="0" borderId="12" xfId="0" applyFont="1" applyBorder="1" applyAlignment="1">
      <alignment horizontal="center" wrapText="1"/>
    </xf>
    <xf numFmtId="0" fontId="21" fillId="0" borderId="12" xfId="0" applyFont="1" applyBorder="1" applyAlignment="1">
      <alignment horizontal="center" wrapText="1"/>
    </xf>
    <xf numFmtId="164" fontId="2" fillId="5" borderId="3" xfId="0" applyNumberFormat="1" applyFont="1" applyFill="1" applyBorder="1" applyAlignment="1">
      <alignment horizontal="center" wrapText="1"/>
    </xf>
    <xf numFmtId="0" fontId="2" fillId="2" borderId="3" xfId="0" applyFont="1" applyFill="1" applyBorder="1" applyAlignment="1">
      <alignment horizontal="center" vertical="center" wrapText="1"/>
    </xf>
    <xf numFmtId="0" fontId="2" fillId="6" borderId="3" xfId="0" applyFont="1" applyFill="1" applyBorder="1" applyAlignment="1">
      <alignment horizontal="center"/>
    </xf>
    <xf numFmtId="168" fontId="0" fillId="0" borderId="10" xfId="0" applyNumberFormat="1" applyBorder="1" applyAlignment="1">
      <alignment horizontal="center" vertical="center"/>
    </xf>
    <xf numFmtId="0" fontId="0" fillId="0" borderId="4" xfId="0" applyBorder="1"/>
    <xf numFmtId="164" fontId="21" fillId="0" borderId="3" xfId="0" applyNumberFormat="1" applyFont="1" applyBorder="1" applyAlignment="1">
      <alignment horizontal="center" wrapText="1"/>
    </xf>
    <xf numFmtId="164" fontId="8" fillId="0" borderId="8" xfId="0" applyNumberFormat="1" applyFont="1" applyBorder="1" applyAlignment="1">
      <alignment horizontal="center" vertical="center"/>
    </xf>
    <xf numFmtId="0" fontId="3" fillId="2" borderId="8" xfId="0" applyFont="1" applyFill="1" applyBorder="1" applyAlignment="1">
      <alignment horizontal="center" vertical="center" wrapText="1"/>
    </xf>
    <xf numFmtId="0" fontId="3" fillId="0" borderId="8" xfId="0" applyFont="1" applyBorder="1" applyAlignment="1">
      <alignment vertical="center"/>
    </xf>
    <xf numFmtId="0" fontId="8" fillId="0" borderId="8" xfId="0" applyFont="1" applyBorder="1"/>
    <xf numFmtId="164" fontId="8" fillId="0" borderId="8" xfId="0" applyNumberFormat="1" applyFont="1" applyFill="1" applyBorder="1" applyAlignment="1">
      <alignment horizontal="center"/>
    </xf>
    <xf numFmtId="1" fontId="8" fillId="0" borderId="8" xfId="0" applyNumberFormat="1" applyFont="1" applyFill="1" applyBorder="1" applyAlignment="1">
      <alignment horizontal="center"/>
    </xf>
    <xf numFmtId="164" fontId="8" fillId="0" borderId="8" xfId="0" applyNumberFormat="1" applyFont="1" applyBorder="1" applyAlignment="1">
      <alignment horizontal="center"/>
    </xf>
    <xf numFmtId="0" fontId="8" fillId="0" borderId="2" xfId="0" applyFont="1" applyBorder="1"/>
    <xf numFmtId="1" fontId="8" fillId="0" borderId="8" xfId="0" applyNumberFormat="1" applyFont="1" applyBorder="1" applyAlignment="1">
      <alignment horizontal="center"/>
    </xf>
    <xf numFmtId="165" fontId="8" fillId="0" borderId="8" xfId="0" applyNumberFormat="1" applyFont="1" applyFill="1" applyBorder="1" applyAlignment="1">
      <alignment horizontal="center" wrapText="1"/>
    </xf>
    <xf numFmtId="0" fontId="0" fillId="0" borderId="8" xfId="0" applyFill="1" applyBorder="1"/>
    <xf numFmtId="0" fontId="34" fillId="2" borderId="0" xfId="0" applyFont="1" applyFill="1" applyBorder="1" applyAlignment="1">
      <alignment horizontal="center" vertical="center" wrapText="1"/>
    </xf>
    <xf numFmtId="0" fontId="0" fillId="0" borderId="4" xfId="0" applyBorder="1" applyAlignment="1">
      <alignment vertical="center"/>
    </xf>
    <xf numFmtId="0" fontId="0" fillId="0" borderId="6" xfId="0" applyBorder="1" applyAlignment="1">
      <alignment horizontal="right" vertical="center"/>
    </xf>
    <xf numFmtId="0" fontId="0" fillId="0" borderId="11" xfId="0" applyBorder="1" applyAlignment="1">
      <alignment vertical="center"/>
    </xf>
    <xf numFmtId="0" fontId="3" fillId="0" borderId="0" xfId="0" applyFont="1" applyAlignment="1">
      <alignment horizontal="right"/>
    </xf>
    <xf numFmtId="0" fontId="2" fillId="0" borderId="0" xfId="0" applyFont="1" applyBorder="1" applyAlignment="1" applyProtection="1">
      <alignment horizontal="right" vertical="center"/>
      <protection locked="0"/>
    </xf>
    <xf numFmtId="0" fontId="2" fillId="3" borderId="0" xfId="0" applyFont="1" applyFill="1" applyBorder="1" applyAlignment="1" applyProtection="1">
      <alignment horizontal="center" vertical="center"/>
      <protection locked="0"/>
    </xf>
    <xf numFmtId="0" fontId="2" fillId="3" borderId="0" xfId="0" applyFont="1" applyFill="1" applyBorder="1" applyAlignment="1" applyProtection="1">
      <alignment horizontal="center"/>
      <protection locked="0"/>
    </xf>
    <xf numFmtId="0" fontId="2" fillId="3" borderId="0" xfId="0" applyFont="1" applyFill="1" applyBorder="1" applyAlignment="1" applyProtection="1">
      <alignment horizontal="center" wrapText="1"/>
      <protection locked="0"/>
    </xf>
    <xf numFmtId="166" fontId="2" fillId="3" borderId="0" xfId="1" applyNumberFormat="1" applyFont="1" applyFill="1" applyBorder="1" applyAlignment="1" applyProtection="1">
      <alignment horizontal="center"/>
      <protection locked="0"/>
    </xf>
    <xf numFmtId="0" fontId="2" fillId="3" borderId="12" xfId="0" applyFont="1" applyFill="1" applyBorder="1" applyAlignment="1" applyProtection="1">
      <alignment horizontal="center"/>
      <protection locked="0"/>
    </xf>
    <xf numFmtId="0" fontId="2" fillId="0" borderId="0" xfId="0"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7" borderId="1" xfId="0" applyFont="1" applyFill="1" applyBorder="1" applyAlignment="1" applyProtection="1">
      <alignment horizontal="left"/>
      <protection locked="0"/>
    </xf>
    <xf numFmtId="2" fontId="2" fillId="3" borderId="8" xfId="0" applyNumberFormat="1" applyFont="1" applyFill="1" applyBorder="1" applyAlignment="1" applyProtection="1">
      <alignment horizontal="center"/>
      <protection locked="0"/>
    </xf>
    <xf numFmtId="0" fontId="0" fillId="0" borderId="11" xfId="0" applyFill="1" applyBorder="1" applyAlignment="1">
      <alignment horizontal="right"/>
    </xf>
    <xf numFmtId="0" fontId="2" fillId="2" borderId="12" xfId="0" applyFont="1" applyFill="1" applyBorder="1" applyAlignment="1">
      <alignment horizontal="left"/>
    </xf>
    <xf numFmtId="0" fontId="0" fillId="0" borderId="1" xfId="0" applyFont="1" applyBorder="1"/>
    <xf numFmtId="0" fontId="15" fillId="2" borderId="12" xfId="0" applyFont="1" applyFill="1" applyBorder="1" applyAlignment="1">
      <alignment horizontal="center" vertical="center" wrapText="1"/>
    </xf>
    <xf numFmtId="0" fontId="0" fillId="6" borderId="5" xfId="0" applyFill="1" applyBorder="1" applyAlignment="1">
      <alignment horizontal="left"/>
    </xf>
    <xf numFmtId="0" fontId="0" fillId="6" borderId="5" xfId="0" applyFill="1" applyBorder="1"/>
    <xf numFmtId="0" fontId="0" fillId="6" borderId="6" xfId="0" applyFill="1" applyBorder="1"/>
    <xf numFmtId="13" fontId="29" fillId="6" borderId="5" xfId="0" applyNumberFormat="1" applyFont="1" applyFill="1" applyBorder="1" applyAlignment="1">
      <alignment horizontal="center" wrapText="1"/>
    </xf>
    <xf numFmtId="2" fontId="0" fillId="6" borderId="5" xfId="0" applyNumberFormat="1" applyFill="1" applyBorder="1" applyAlignment="1">
      <alignment horizontal="center"/>
    </xf>
    <xf numFmtId="0" fontId="0" fillId="6" borderId="6" xfId="0" applyFill="1" applyBorder="1" applyAlignment="1">
      <alignment horizontal="center"/>
    </xf>
    <xf numFmtId="0" fontId="0" fillId="6" borderId="0" xfId="0" applyFill="1" applyBorder="1" applyAlignment="1">
      <alignment horizontal="left"/>
    </xf>
    <xf numFmtId="0" fontId="0" fillId="6" borderId="8" xfId="0" applyFill="1" applyBorder="1"/>
    <xf numFmtId="0" fontId="0" fillId="6" borderId="0" xfId="0" applyFill="1" applyBorder="1" applyAlignment="1">
      <alignment horizontal="center"/>
    </xf>
    <xf numFmtId="0" fontId="2" fillId="6" borderId="0" xfId="0" applyFont="1" applyFill="1" applyBorder="1"/>
    <xf numFmtId="0" fontId="0" fillId="6" borderId="1" xfId="0" applyFill="1" applyBorder="1"/>
    <xf numFmtId="0" fontId="0" fillId="6" borderId="1" xfId="0" applyFill="1" applyBorder="1" applyAlignment="1">
      <alignment horizontal="center"/>
    </xf>
    <xf numFmtId="0" fontId="0" fillId="6" borderId="2" xfId="0" applyFill="1" applyBorder="1"/>
    <xf numFmtId="167" fontId="0" fillId="0" borderId="1" xfId="0" applyNumberFormat="1" applyBorder="1" applyAlignment="1">
      <alignment horizontal="center"/>
    </xf>
    <xf numFmtId="0" fontId="0" fillId="6" borderId="11" xfId="0" quotePrefix="1" applyFill="1" applyBorder="1" applyAlignment="1">
      <alignment horizontal="center" vertical="center"/>
    </xf>
    <xf numFmtId="0" fontId="0" fillId="0" borderId="1" xfId="0" applyFont="1" applyBorder="1" applyAlignment="1">
      <alignment horizontal="left"/>
    </xf>
    <xf numFmtId="0" fontId="15" fillId="2" borderId="3" xfId="0" applyFont="1" applyFill="1" applyBorder="1" applyAlignment="1">
      <alignment horizontal="center" vertical="center" wrapText="1"/>
    </xf>
    <xf numFmtId="0" fontId="2" fillId="6" borderId="13" xfId="0" applyFont="1" applyFill="1" applyBorder="1" applyAlignment="1">
      <alignment horizontal="right"/>
    </xf>
    <xf numFmtId="0" fontId="2" fillId="6" borderId="15" xfId="0" applyFont="1" applyFill="1" applyBorder="1" applyAlignment="1">
      <alignment horizontal="right"/>
    </xf>
    <xf numFmtId="0" fontId="0" fillId="6" borderId="15" xfId="0" applyFill="1" applyBorder="1"/>
    <xf numFmtId="0" fontId="2" fillId="6" borderId="14" xfId="0" applyFont="1" applyFill="1" applyBorder="1" applyAlignment="1">
      <alignment horizontal="right"/>
    </xf>
    <xf numFmtId="0" fontId="0" fillId="6" borderId="14" xfId="0" applyFill="1" applyBorder="1"/>
    <xf numFmtId="0" fontId="0" fillId="0" borderId="8" xfId="0" applyBorder="1" applyAlignment="1">
      <alignment horizontal="left"/>
    </xf>
    <xf numFmtId="0" fontId="0" fillId="0" borderId="7" xfId="0" applyBorder="1" applyAlignment="1">
      <alignment horizontal="center" vertical="top"/>
    </xf>
    <xf numFmtId="0" fontId="0" fillId="0" borderId="11" xfId="0" applyBorder="1" applyAlignment="1">
      <alignment horizontal="center" vertical="top"/>
    </xf>
    <xf numFmtId="0" fontId="0" fillId="0" borderId="4" xfId="0" applyBorder="1" applyAlignment="1">
      <alignment horizontal="center" vertical="top"/>
    </xf>
    <xf numFmtId="0" fontId="24" fillId="2" borderId="12" xfId="0" applyFont="1" applyFill="1" applyBorder="1"/>
    <xf numFmtId="9" fontId="2" fillId="0" borderId="12" xfId="0" applyNumberFormat="1" applyFont="1" applyFill="1" applyBorder="1" applyAlignment="1">
      <alignment horizontal="center"/>
    </xf>
    <xf numFmtId="0" fontId="2" fillId="0" borderId="7" xfId="0" applyFont="1" applyBorder="1"/>
    <xf numFmtId="0" fontId="2" fillId="0" borderId="11" xfId="0" applyFont="1" applyBorder="1"/>
    <xf numFmtId="164" fontId="2" fillId="0" borderId="3" xfId="0" applyNumberFormat="1" applyFont="1" applyFill="1" applyBorder="1" applyAlignment="1" applyProtection="1">
      <alignment horizontal="center"/>
    </xf>
    <xf numFmtId="0" fontId="3" fillId="2" borderId="0" xfId="0" applyFont="1" applyFill="1" applyAlignment="1">
      <alignment horizontal="left" vertical="center"/>
    </xf>
    <xf numFmtId="0" fontId="2" fillId="2" borderId="0" xfId="0" applyFont="1" applyFill="1" applyAlignment="1">
      <alignment horizontal="center" vertical="center" wrapText="1"/>
    </xf>
    <xf numFmtId="0" fontId="2" fillId="2" borderId="8" xfId="0" applyFont="1" applyFill="1" applyBorder="1" applyAlignment="1">
      <alignment horizontal="center" vertical="center" wrapText="1"/>
    </xf>
    <xf numFmtId="0" fontId="8" fillId="2" borderId="9" xfId="0" applyFont="1" applyFill="1" applyBorder="1"/>
    <xf numFmtId="0" fontId="2" fillId="0" borderId="7" xfId="0" applyFont="1" applyBorder="1" applyAlignment="1">
      <alignment horizontal="right" vertical="center" wrapText="1"/>
    </xf>
    <xf numFmtId="0" fontId="2" fillId="0" borderId="8" xfId="0" applyFont="1" applyBorder="1" applyAlignment="1">
      <alignment horizontal="left"/>
    </xf>
    <xf numFmtId="2" fontId="0" fillId="0" borderId="0" xfId="0" applyNumberFormat="1"/>
    <xf numFmtId="0" fontId="2" fillId="6" borderId="2" xfId="0" applyFont="1" applyFill="1" applyBorder="1" applyAlignment="1">
      <alignment horizontal="right"/>
    </xf>
    <xf numFmtId="0" fontId="0" fillId="0" borderId="5" xfId="0" applyBorder="1" applyAlignment="1">
      <alignment horizontal="center"/>
    </xf>
    <xf numFmtId="0" fontId="0" fillId="0" borderId="6" xfId="0" applyFill="1" applyBorder="1" applyAlignment="1">
      <alignment horizontal="center"/>
    </xf>
    <xf numFmtId="166" fontId="2" fillId="3" borderId="0" xfId="1" applyNumberFormat="1" applyFont="1" applyFill="1" applyAlignment="1" applyProtection="1">
      <alignment horizontal="center"/>
      <protection locked="0"/>
    </xf>
    <xf numFmtId="0" fontId="0" fillId="2" borderId="5" xfId="0" applyFill="1" applyBorder="1"/>
    <xf numFmtId="0" fontId="19" fillId="2" borderId="2" xfId="0" applyFont="1" applyFill="1" applyBorder="1"/>
    <xf numFmtId="0" fontId="2" fillId="0" borderId="8" xfId="0" applyFont="1" applyBorder="1"/>
    <xf numFmtId="2" fontId="2" fillId="0" borderId="0" xfId="0" applyNumberFormat="1" applyFont="1" applyFill="1" applyBorder="1" applyAlignment="1" applyProtection="1">
      <alignment horizontal="center" vertical="center"/>
    </xf>
    <xf numFmtId="0" fontId="2" fillId="0" borderId="0" xfId="0" applyFont="1" applyBorder="1" applyAlignment="1">
      <alignment horizontal="right" vertical="center" wrapText="1"/>
    </xf>
    <xf numFmtId="167" fontId="18" fillId="2" borderId="4" xfId="0" applyNumberFormat="1" applyFont="1" applyFill="1" applyBorder="1" applyAlignment="1">
      <alignment horizontal="left"/>
    </xf>
    <xf numFmtId="0" fontId="0" fillId="2" borderId="6" xfId="0" applyFill="1" applyBorder="1" applyAlignment="1">
      <alignment vertical="center"/>
    </xf>
    <xf numFmtId="0" fontId="2" fillId="0" borderId="0" xfId="0" applyFont="1" applyFill="1" applyBorder="1" applyAlignment="1" applyProtection="1">
      <alignment horizontal="center"/>
      <protection locked="0"/>
    </xf>
    <xf numFmtId="164" fontId="8" fillId="3" borderId="0" xfId="0" applyNumberFormat="1" applyFont="1" applyFill="1" applyAlignment="1" applyProtection="1">
      <alignment horizontal="center"/>
      <protection locked="0"/>
    </xf>
    <xf numFmtId="0" fontId="36" fillId="3" borderId="9" xfId="0" applyFont="1" applyFill="1" applyBorder="1" applyAlignment="1" applyProtection="1">
      <alignment horizontal="center" wrapText="1"/>
      <protection locked="0"/>
    </xf>
    <xf numFmtId="0" fontId="40" fillId="0" borderId="0" xfId="0" applyFont="1" applyFill="1" applyBorder="1" applyAlignment="1">
      <alignment horizontal="center" vertical="top" wrapText="1"/>
    </xf>
    <xf numFmtId="0" fontId="42" fillId="0" borderId="0" xfId="2" applyFont="1"/>
    <xf numFmtId="0" fontId="43" fillId="0" borderId="0" xfId="2" applyFont="1"/>
    <xf numFmtId="0" fontId="40" fillId="0" borderId="0" xfId="2" applyFont="1"/>
    <xf numFmtId="0" fontId="38" fillId="0" borderId="0" xfId="2" applyFont="1"/>
    <xf numFmtId="0" fontId="44" fillId="0" borderId="18" xfId="2" applyFont="1" applyBorder="1" applyAlignment="1">
      <alignment horizontal="center"/>
    </xf>
    <xf numFmtId="0" fontId="38" fillId="0" borderId="20" xfId="2" applyFont="1" applyBorder="1" applyAlignment="1">
      <alignment wrapText="1"/>
    </xf>
    <xf numFmtId="0" fontId="38" fillId="0" borderId="21" xfId="2" applyFont="1" applyBorder="1" applyAlignment="1">
      <alignment wrapText="1"/>
    </xf>
    <xf numFmtId="0" fontId="38" fillId="0" borderId="22" xfId="2" applyFont="1" applyBorder="1" applyAlignment="1">
      <alignment wrapText="1"/>
    </xf>
    <xf numFmtId="0" fontId="38" fillId="0" borderId="23" xfId="2" applyFont="1" applyBorder="1" applyAlignment="1">
      <alignment wrapText="1"/>
    </xf>
    <xf numFmtId="0" fontId="38" fillId="0" borderId="24" xfId="2" applyFont="1" applyBorder="1" applyAlignment="1">
      <alignment wrapText="1"/>
    </xf>
    <xf numFmtId="0" fontId="38" fillId="11" borderId="16" xfId="2" applyFont="1" applyFill="1" applyBorder="1" applyAlignment="1">
      <alignment vertical="top"/>
    </xf>
    <xf numFmtId="0" fontId="40" fillId="0" borderId="17" xfId="2" applyFont="1" applyFill="1" applyBorder="1" applyAlignment="1">
      <alignment vertical="top" wrapText="1"/>
    </xf>
    <xf numFmtId="0" fontId="46" fillId="0" borderId="25" xfId="2" applyFont="1" applyBorder="1" applyAlignment="1">
      <alignment vertical="top" wrapText="1"/>
    </xf>
    <xf numFmtId="166" fontId="41" fillId="13" borderId="26" xfId="2" applyNumberFormat="1" applyFont="1" applyFill="1" applyBorder="1" applyAlignment="1">
      <alignment horizontal="center" vertical="top" wrapText="1"/>
    </xf>
    <xf numFmtId="166" fontId="41" fillId="13" borderId="16" xfId="2" applyNumberFormat="1" applyFont="1" applyFill="1" applyBorder="1" applyAlignment="1">
      <alignment horizontal="center" vertical="top" wrapText="1"/>
    </xf>
    <xf numFmtId="10" fontId="40" fillId="13" borderId="16" xfId="2" applyNumberFormat="1" applyFont="1" applyFill="1" applyBorder="1" applyAlignment="1">
      <alignment horizontal="center" vertical="top" wrapText="1"/>
    </xf>
    <xf numFmtId="3" fontId="40" fillId="13" borderId="16" xfId="2" applyNumberFormat="1" applyFont="1" applyFill="1" applyBorder="1" applyAlignment="1">
      <alignment vertical="top" wrapText="1"/>
    </xf>
    <xf numFmtId="3" fontId="40" fillId="14" borderId="16" xfId="2" applyNumberFormat="1" applyFont="1" applyFill="1" applyBorder="1" applyAlignment="1">
      <alignment vertical="top" wrapText="1"/>
    </xf>
    <xf numFmtId="166" fontId="40" fillId="13" borderId="26" xfId="2" applyNumberFormat="1" applyFont="1" applyFill="1" applyBorder="1" applyAlignment="1">
      <alignment horizontal="center" vertical="top" wrapText="1"/>
    </xf>
    <xf numFmtId="166" fontId="40" fillId="13" borderId="16" xfId="2" applyNumberFormat="1" applyFont="1" applyFill="1" applyBorder="1" applyAlignment="1">
      <alignment horizontal="center" vertical="top" wrapText="1"/>
    </xf>
    <xf numFmtId="0" fontId="38" fillId="12" borderId="16" xfId="2" applyFont="1" applyFill="1" applyBorder="1" applyAlignment="1">
      <alignment vertical="top"/>
    </xf>
    <xf numFmtId="0" fontId="38" fillId="12" borderId="16" xfId="2" applyFont="1" applyFill="1" applyBorder="1" applyAlignment="1">
      <alignment vertical="top" wrapText="1"/>
    </xf>
    <xf numFmtId="0" fontId="47" fillId="0" borderId="0" xfId="2" applyFont="1" applyAlignment="1">
      <alignment wrapText="1"/>
    </xf>
    <xf numFmtId="3" fontId="38" fillId="13" borderId="16" xfId="2" applyNumberFormat="1" applyFont="1" applyFill="1" applyBorder="1" applyAlignment="1">
      <alignment horizontal="right"/>
    </xf>
    <xf numFmtId="0" fontId="38" fillId="0" borderId="0" xfId="2" applyFont="1" applyFill="1" applyBorder="1" applyAlignment="1">
      <alignment vertical="top"/>
    </xf>
    <xf numFmtId="3" fontId="43" fillId="0" borderId="0" xfId="2" applyNumberFormat="1" applyFont="1"/>
    <xf numFmtId="0" fontId="40" fillId="0" borderId="0" xfId="2" applyFont="1" applyFill="1" applyBorder="1" applyAlignment="1">
      <alignment vertical="top"/>
    </xf>
    <xf numFmtId="0" fontId="43" fillId="0" borderId="0" xfId="2" applyFont="1" applyFill="1"/>
    <xf numFmtId="0" fontId="40" fillId="0" borderId="0" xfId="2" applyFont="1" applyFill="1"/>
    <xf numFmtId="9" fontId="40" fillId="15" borderId="0" xfId="2" applyNumberFormat="1" applyFont="1" applyFill="1"/>
    <xf numFmtId="0" fontId="43" fillId="0" borderId="27" xfId="2" applyFont="1" applyBorder="1"/>
    <xf numFmtId="0" fontId="40" fillId="0" borderId="0" xfId="2" applyFont="1" applyBorder="1" applyAlignment="1">
      <alignment horizontal="center" wrapText="1"/>
    </xf>
    <xf numFmtId="0" fontId="40" fillId="0" borderId="28" xfId="2" applyFont="1" applyBorder="1" applyAlignment="1">
      <alignment horizontal="center" wrapText="1"/>
    </xf>
    <xf numFmtId="0" fontId="40" fillId="0" borderId="21" xfId="2" applyFont="1" applyBorder="1" applyAlignment="1">
      <alignment horizontal="center" wrapText="1"/>
    </xf>
    <xf numFmtId="0" fontId="40" fillId="0" borderId="21" xfId="2" applyFont="1" applyBorder="1" applyAlignment="1">
      <alignment wrapText="1"/>
    </xf>
    <xf numFmtId="0" fontId="38" fillId="0" borderId="16" xfId="2" applyFont="1" applyFill="1" applyBorder="1" applyAlignment="1">
      <alignment vertical="top"/>
    </xf>
    <xf numFmtId="9" fontId="40" fillId="14" borderId="29" xfId="2" applyNumberFormat="1" applyFont="1" applyFill="1" applyBorder="1" applyAlignment="1">
      <alignment horizontal="center"/>
    </xf>
    <xf numFmtId="9" fontId="40" fillId="14" borderId="16" xfId="2" applyNumberFormat="1" applyFont="1" applyFill="1" applyBorder="1" applyAlignment="1">
      <alignment horizontal="center"/>
    </xf>
    <xf numFmtId="0" fontId="38" fillId="0" borderId="16" xfId="2" applyFont="1" applyFill="1" applyBorder="1" applyAlignment="1">
      <alignment vertical="top" wrapText="1"/>
    </xf>
    <xf numFmtId="0" fontId="43" fillId="0" borderId="1" xfId="2" applyFont="1" applyBorder="1"/>
    <xf numFmtId="0" fontId="38" fillId="0" borderId="0" xfId="2" applyFont="1" applyBorder="1" applyAlignment="1">
      <alignment horizontal="right"/>
    </xf>
    <xf numFmtId="2" fontId="40" fillId="14" borderId="29" xfId="2" applyNumberFormat="1" applyFont="1" applyFill="1" applyBorder="1" applyAlignment="1">
      <alignment horizontal="center"/>
    </xf>
    <xf numFmtId="2" fontId="40" fillId="14" borderId="30" xfId="2" applyNumberFormat="1" applyFont="1" applyFill="1" applyBorder="1" applyAlignment="1">
      <alignment horizontal="center"/>
    </xf>
    <xf numFmtId="2" fontId="40" fillId="14" borderId="16" xfId="2" applyNumberFormat="1" applyFont="1" applyFill="1" applyBorder="1" applyAlignment="1">
      <alignment horizontal="center"/>
    </xf>
    <xf numFmtId="2" fontId="40" fillId="14" borderId="17" xfId="2" applyNumberFormat="1" applyFont="1" applyFill="1" applyBorder="1" applyAlignment="1">
      <alignment horizontal="center"/>
    </xf>
    <xf numFmtId="0" fontId="40" fillId="0" borderId="0" xfId="0" applyFont="1" applyFill="1" applyBorder="1" applyAlignment="1">
      <alignment horizontal="right" vertical="top"/>
    </xf>
    <xf numFmtId="0" fontId="43" fillId="0" borderId="0" xfId="2" applyFont="1" applyBorder="1"/>
    <xf numFmtId="0" fontId="16" fillId="0" borderId="1" xfId="0" applyFont="1" applyBorder="1" applyAlignment="1">
      <alignment horizontal="right" vertical="center"/>
    </xf>
    <xf numFmtId="0" fontId="52" fillId="0" borderId="0" xfId="2" applyFont="1"/>
    <xf numFmtId="0" fontId="53" fillId="6" borderId="0" xfId="0" applyFont="1" applyFill="1" applyBorder="1" applyAlignment="1">
      <alignment horizontal="right"/>
    </xf>
    <xf numFmtId="0" fontId="53" fillId="0" borderId="0" xfId="0" applyFont="1" applyFill="1" applyBorder="1" applyAlignment="1">
      <alignment horizontal="center" vertical="center" wrapText="1"/>
    </xf>
    <xf numFmtId="164" fontId="2" fillId="0" borderId="0" xfId="0" applyNumberFormat="1" applyFont="1" applyFill="1" applyBorder="1" applyAlignment="1" applyProtection="1">
      <alignment horizontal="left" vertical="center"/>
      <protection locked="0"/>
    </xf>
    <xf numFmtId="166" fontId="2" fillId="8" borderId="0" xfId="1" applyNumberFormat="1" applyFont="1" applyFill="1" applyBorder="1" applyAlignment="1">
      <alignment horizontal="center" vertical="center"/>
    </xf>
    <xf numFmtId="0" fontId="2" fillId="0" borderId="8" xfId="0" applyFont="1" applyBorder="1" applyAlignment="1">
      <alignment vertical="center"/>
    </xf>
    <xf numFmtId="0" fontId="54" fillId="14" borderId="31" xfId="2" applyFont="1" applyFill="1" applyBorder="1" applyAlignment="1">
      <alignment horizontal="center"/>
    </xf>
    <xf numFmtId="0" fontId="54" fillId="14" borderId="29" xfId="2" applyFont="1" applyFill="1" applyBorder="1" applyAlignment="1">
      <alignment horizontal="center"/>
    </xf>
    <xf numFmtId="0" fontId="54" fillId="14" borderId="30" xfId="2" applyFont="1" applyFill="1" applyBorder="1" applyAlignment="1">
      <alignment horizontal="center"/>
    </xf>
    <xf numFmtId="0" fontId="54" fillId="14" borderId="32" xfId="2" applyFont="1" applyFill="1" applyBorder="1" applyAlignment="1">
      <alignment horizontal="center"/>
    </xf>
    <xf numFmtId="0" fontId="54" fillId="14" borderId="16" xfId="2" applyFont="1" applyFill="1" applyBorder="1" applyAlignment="1">
      <alignment horizontal="center"/>
    </xf>
    <xf numFmtId="0" fontId="54" fillId="14" borderId="17" xfId="2" applyFont="1" applyFill="1" applyBorder="1" applyAlignment="1">
      <alignment horizontal="center"/>
    </xf>
    <xf numFmtId="0" fontId="54" fillId="14" borderId="33" xfId="2" applyFont="1" applyFill="1" applyBorder="1" applyAlignment="1">
      <alignment horizontal="center"/>
    </xf>
    <xf numFmtId="0" fontId="54" fillId="14" borderId="34" xfId="2" applyFont="1" applyFill="1" applyBorder="1" applyAlignment="1">
      <alignment horizontal="center"/>
    </xf>
    <xf numFmtId="0" fontId="54" fillId="14" borderId="35" xfId="2" applyFont="1" applyFill="1" applyBorder="1" applyAlignment="1">
      <alignment horizontal="center"/>
    </xf>
    <xf numFmtId="0" fontId="40" fillId="0" borderId="1" xfId="2" applyFont="1" applyBorder="1"/>
    <xf numFmtId="0" fontId="38" fillId="0" borderId="1" xfId="2" applyFont="1" applyBorder="1" applyAlignment="1">
      <alignment horizontal="right"/>
    </xf>
    <xf numFmtId="0" fontId="43" fillId="2" borderId="9" xfId="2" applyFont="1" applyFill="1" applyBorder="1"/>
    <xf numFmtId="0" fontId="51" fillId="2" borderId="12" xfId="0" applyFont="1" applyFill="1" applyBorder="1" applyAlignment="1">
      <alignment horizontal="right" vertical="center"/>
    </xf>
    <xf numFmtId="0" fontId="43" fillId="2" borderId="10" xfId="2" applyFont="1" applyFill="1" applyBorder="1"/>
    <xf numFmtId="0" fontId="51" fillId="2" borderId="12" xfId="0" applyFont="1" applyFill="1" applyBorder="1" applyAlignment="1">
      <alignment horizontal="left" vertical="center"/>
    </xf>
    <xf numFmtId="0" fontId="26" fillId="0" borderId="0" xfId="2" applyFont="1" applyAlignment="1">
      <alignment horizontal="center"/>
    </xf>
    <xf numFmtId="0" fontId="43" fillId="0" borderId="4" xfId="2" applyFont="1" applyBorder="1"/>
    <xf numFmtId="0" fontId="40" fillId="0" borderId="5" xfId="2" applyFont="1" applyBorder="1"/>
    <xf numFmtId="0" fontId="16" fillId="0" borderId="5" xfId="0" applyFont="1" applyBorder="1" applyAlignment="1">
      <alignment horizontal="right" vertical="center"/>
    </xf>
    <xf numFmtId="0" fontId="50" fillId="0" borderId="5" xfId="0" applyFont="1" applyBorder="1"/>
    <xf numFmtId="0" fontId="43" fillId="0" borderId="5" xfId="2" applyFont="1" applyBorder="1"/>
    <xf numFmtId="0" fontId="43" fillId="0" borderId="6" xfId="2" applyFont="1" applyBorder="1"/>
    <xf numFmtId="0" fontId="43" fillId="0" borderId="7" xfId="2" applyFont="1" applyBorder="1"/>
    <xf numFmtId="0" fontId="40" fillId="0" borderId="0" xfId="2" applyFont="1" applyBorder="1"/>
    <xf numFmtId="0" fontId="16" fillId="0" borderId="0" xfId="0" applyFont="1" applyBorder="1" applyAlignment="1">
      <alignment horizontal="right" vertical="center"/>
    </xf>
    <xf numFmtId="0" fontId="50" fillId="0" borderId="0" xfId="0" applyFont="1" applyFill="1" applyBorder="1" applyAlignment="1">
      <alignment horizontal="center"/>
    </xf>
    <xf numFmtId="0" fontId="50" fillId="0" borderId="0" xfId="0" applyFont="1" applyBorder="1"/>
    <xf numFmtId="0" fontId="43" fillId="0" borderId="8" xfId="2" applyFont="1" applyBorder="1"/>
    <xf numFmtId="0" fontId="50" fillId="0" borderId="0" xfId="0" applyFont="1" applyBorder="1" applyAlignment="1">
      <alignment horizontal="left" vertical="center"/>
    </xf>
    <xf numFmtId="0" fontId="43" fillId="0" borderId="11" xfId="2" applyFont="1" applyBorder="1"/>
    <xf numFmtId="0" fontId="40" fillId="0" borderId="0" xfId="2" applyFont="1" applyFill="1" applyBorder="1"/>
    <xf numFmtId="0" fontId="16" fillId="0" borderId="0" xfId="0" applyFont="1" applyFill="1" applyBorder="1" applyAlignment="1">
      <alignment horizontal="right" vertical="center"/>
    </xf>
    <xf numFmtId="0" fontId="43" fillId="0" borderId="0" xfId="2" applyFont="1" applyFill="1" applyBorder="1"/>
    <xf numFmtId="0" fontId="16" fillId="0" borderId="11" xfId="0" applyFont="1" applyBorder="1" applyAlignment="1">
      <alignment horizontal="left" vertical="center"/>
    </xf>
    <xf numFmtId="0" fontId="2" fillId="0" borderId="0" xfId="0" applyFont="1" applyFill="1" applyBorder="1" applyAlignment="1" applyProtection="1">
      <alignment horizontal="right" vertical="center"/>
    </xf>
    <xf numFmtId="0" fontId="50" fillId="0" borderId="8" xfId="0" applyFont="1" applyBorder="1" applyAlignment="1">
      <alignment horizontal="left"/>
    </xf>
    <xf numFmtId="0" fontId="40" fillId="0" borderId="7" xfId="2" applyFont="1" applyBorder="1" applyAlignment="1">
      <alignment horizontal="center"/>
    </xf>
    <xf numFmtId="0" fontId="50" fillId="0" borderId="2" xfId="0" applyFont="1" applyBorder="1" applyAlignment="1">
      <alignment horizontal="left"/>
    </xf>
    <xf numFmtId="0" fontId="50" fillId="0" borderId="7" xfId="0" applyFont="1" applyBorder="1" applyAlignment="1">
      <alignment horizontal="center"/>
    </xf>
    <xf numFmtId="0" fontId="40" fillId="0" borderId="11" xfId="2" applyFont="1" applyBorder="1" applyAlignment="1">
      <alignment horizontal="center"/>
    </xf>
    <xf numFmtId="0" fontId="50" fillId="0" borderId="7" xfId="0" applyFont="1" applyFill="1" applyBorder="1" applyAlignment="1">
      <alignment horizontal="center"/>
    </xf>
    <xf numFmtId="0" fontId="49" fillId="0" borderId="1" xfId="2" applyFont="1" applyBorder="1"/>
    <xf numFmtId="0" fontId="38" fillId="2" borderId="12" xfId="2" applyFont="1" applyFill="1" applyBorder="1" applyAlignment="1">
      <alignment horizontal="left"/>
    </xf>
    <xf numFmtId="0" fontId="0" fillId="0" borderId="0" xfId="0" applyFont="1"/>
    <xf numFmtId="14" fontId="0" fillId="0" borderId="15" xfId="0" applyNumberFormat="1" applyBorder="1" applyAlignment="1">
      <alignment horizontal="center" vertical="center"/>
    </xf>
    <xf numFmtId="0" fontId="0" fillId="0" borderId="15" xfId="0" applyBorder="1" applyAlignment="1">
      <alignment vertical="center"/>
    </xf>
    <xf numFmtId="0" fontId="0" fillId="0" borderId="15" xfId="0" applyFill="1" applyBorder="1" applyAlignment="1">
      <alignment horizontal="center" vertical="center"/>
    </xf>
    <xf numFmtId="0" fontId="55" fillId="0" borderId="0" xfId="0" applyFont="1"/>
    <xf numFmtId="0" fontId="43" fillId="2" borderId="12" xfId="2" applyFont="1" applyFill="1" applyBorder="1"/>
    <xf numFmtId="0" fontId="40" fillId="2" borderId="9" xfId="2" applyFont="1" applyFill="1" applyBorder="1"/>
    <xf numFmtId="0" fontId="49" fillId="2" borderId="9" xfId="2" applyFont="1" applyFill="1" applyBorder="1"/>
    <xf numFmtId="0" fontId="16" fillId="2" borderId="9" xfId="0" applyFont="1" applyFill="1" applyBorder="1" applyAlignment="1">
      <alignment horizontal="right" vertical="center"/>
    </xf>
    <xf numFmtId="2" fontId="2" fillId="8" borderId="1" xfId="0" applyNumberFormat="1" applyFont="1" applyFill="1" applyBorder="1" applyAlignment="1">
      <alignment horizontal="center"/>
    </xf>
    <xf numFmtId="2" fontId="2" fillId="0" borderId="9" xfId="0" applyNumberFormat="1" applyFont="1" applyBorder="1" applyAlignment="1">
      <alignment horizontal="center"/>
    </xf>
    <xf numFmtId="2" fontId="2" fillId="0" borderId="10" xfId="0" applyNumberFormat="1" applyFont="1" applyBorder="1" applyAlignment="1">
      <alignment horizontal="center"/>
    </xf>
    <xf numFmtId="168" fontId="0" fillId="0" borderId="10" xfId="0" applyNumberFormat="1" applyBorder="1" applyAlignment="1">
      <alignment vertical="center"/>
    </xf>
    <xf numFmtId="0" fontId="2" fillId="0" borderId="0" xfId="0" applyFont="1" applyAlignment="1">
      <alignment horizontal="center"/>
    </xf>
    <xf numFmtId="0" fontId="57" fillId="0" borderId="0" xfId="0" applyFont="1" applyFill="1" applyBorder="1" applyAlignment="1">
      <alignment horizontal="right"/>
    </xf>
    <xf numFmtId="0" fontId="0" fillId="0" borderId="2" xfId="0" applyFill="1" applyBorder="1"/>
    <xf numFmtId="164" fontId="0" fillId="6" borderId="3" xfId="0" quotePrefix="1" applyNumberFormat="1" applyFill="1" applyBorder="1" applyAlignment="1">
      <alignment horizontal="center" vertical="center"/>
    </xf>
    <xf numFmtId="0" fontId="8" fillId="0" borderId="9" xfId="0" applyFont="1" applyBorder="1" applyAlignment="1">
      <alignment horizontal="center"/>
    </xf>
    <xf numFmtId="167" fontId="0" fillId="0" borderId="0" xfId="0" applyNumberFormat="1"/>
    <xf numFmtId="12" fontId="0" fillId="0" borderId="10" xfId="0" applyNumberFormat="1" applyBorder="1" applyAlignment="1">
      <alignment horizontal="center" vertical="center"/>
    </xf>
    <xf numFmtId="0" fontId="2" fillId="2" borderId="3" xfId="0" applyFont="1" applyFill="1" applyBorder="1" applyAlignment="1">
      <alignment horizontal="center" vertical="center" wrapText="1"/>
    </xf>
    <xf numFmtId="2" fontId="31" fillId="8" borderId="0" xfId="0" applyNumberFormat="1" applyFont="1" applyFill="1" applyBorder="1" applyAlignment="1">
      <alignment horizontal="center" vertical="center" wrapText="1"/>
    </xf>
    <xf numFmtId="0" fontId="2" fillId="2" borderId="39" xfId="0" applyFont="1" applyFill="1" applyBorder="1" applyAlignment="1">
      <alignment horizontal="center" vertical="center" wrapText="1"/>
    </xf>
    <xf numFmtId="0" fontId="0" fillId="0" borderId="40" xfId="0" applyBorder="1"/>
    <xf numFmtId="2" fontId="0" fillId="0" borderId="12" xfId="0" applyNumberFormat="1" applyBorder="1" applyAlignment="1">
      <alignment horizontal="center" vertical="center"/>
    </xf>
    <xf numFmtId="2" fontId="0" fillId="0" borderId="7" xfId="0" applyNumberFormat="1" applyBorder="1" applyAlignment="1">
      <alignment horizontal="center" vertical="center"/>
    </xf>
    <xf numFmtId="0" fontId="2" fillId="0" borderId="7" xfId="0" applyFont="1" applyFill="1" applyBorder="1" applyAlignment="1">
      <alignment horizontal="center" vertical="center" wrapText="1"/>
    </xf>
    <xf numFmtId="0" fontId="31" fillId="8" borderId="2" xfId="0" applyFont="1" applyFill="1" applyBorder="1" applyAlignment="1">
      <alignment horizontal="center"/>
    </xf>
    <xf numFmtId="2" fontId="29" fillId="0" borderId="3" xfId="0" applyNumberFormat="1" applyFont="1" applyBorder="1" applyAlignment="1" applyProtection="1">
      <alignment horizontal="center" wrapText="1"/>
    </xf>
    <xf numFmtId="2" fontId="0" fillId="0" borderId="3" xfId="0" applyNumberFormat="1" applyBorder="1" applyAlignment="1" applyProtection="1">
      <alignment horizontal="center"/>
    </xf>
    <xf numFmtId="0" fontId="8" fillId="0" borderId="7" xfId="0" applyFont="1" applyBorder="1"/>
    <xf numFmtId="0" fontId="0" fillId="0" borderId="9" xfId="0" applyBorder="1" applyAlignment="1">
      <alignment horizontal="right"/>
    </xf>
    <xf numFmtId="2" fontId="29" fillId="0" borderId="3" xfId="0" applyNumberFormat="1" applyFont="1" applyFill="1" applyBorder="1" applyAlignment="1" applyProtection="1">
      <alignment horizontal="center" wrapText="1"/>
    </xf>
    <xf numFmtId="2" fontId="0" fillId="0" borderId="13" xfId="0" applyNumberFormat="1" applyBorder="1" applyAlignment="1" applyProtection="1">
      <alignment horizontal="center"/>
    </xf>
    <xf numFmtId="0" fontId="0" fillId="0" borderId="36" xfId="0" applyBorder="1"/>
    <xf numFmtId="0" fontId="0" fillId="0" borderId="37" xfId="0" applyBorder="1"/>
    <xf numFmtId="0" fontId="0" fillId="0" borderId="37" xfId="0" applyBorder="1" applyAlignment="1">
      <alignment horizontal="right"/>
    </xf>
    <xf numFmtId="2" fontId="29" fillId="0" borderId="44" xfId="0" applyNumberFormat="1" applyFont="1" applyFill="1" applyBorder="1" applyAlignment="1" applyProtection="1">
      <alignment horizontal="center" wrapText="1"/>
    </xf>
    <xf numFmtId="2" fontId="29" fillId="0" borderId="45" xfId="0" applyNumberFormat="1" applyFont="1" applyFill="1" applyBorder="1" applyAlignment="1" applyProtection="1">
      <alignment horizontal="center" wrapText="1"/>
    </xf>
    <xf numFmtId="0" fontId="0" fillId="0" borderId="45"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xf numFmtId="0" fontId="0" fillId="0" borderId="51" xfId="0" applyBorder="1" applyAlignment="1">
      <alignment horizontal="right"/>
    </xf>
    <xf numFmtId="2" fontId="0" fillId="0" borderId="41" xfId="0" applyNumberFormat="1" applyBorder="1" applyAlignment="1">
      <alignment horizontal="center"/>
    </xf>
    <xf numFmtId="0" fontId="0" fillId="0" borderId="41" xfId="0" applyBorder="1"/>
    <xf numFmtId="0" fontId="0" fillId="0" borderId="52" xfId="0" applyBorder="1"/>
    <xf numFmtId="0" fontId="0" fillId="0" borderId="53" xfId="0" applyBorder="1"/>
    <xf numFmtId="0" fontId="0" fillId="0" borderId="54" xfId="0" applyBorder="1"/>
    <xf numFmtId="0" fontId="0" fillId="0" borderId="54" xfId="0" applyFill="1" applyBorder="1" applyAlignment="1">
      <alignment horizontal="right"/>
    </xf>
    <xf numFmtId="2" fontId="31" fillId="0" borderId="8" xfId="0" applyNumberFormat="1" applyFont="1" applyBorder="1" applyAlignment="1">
      <alignment horizontal="center" vertical="center" wrapText="1"/>
    </xf>
    <xf numFmtId="0" fontId="31" fillId="0" borderId="0" xfId="1" applyNumberFormat="1" applyFont="1" applyFill="1" applyBorder="1" applyAlignment="1" applyProtection="1">
      <alignment horizontal="center"/>
    </xf>
    <xf numFmtId="0" fontId="58" fillId="0" borderId="0" xfId="0" applyFont="1" applyFill="1" applyBorder="1" applyAlignment="1">
      <alignment horizontal="center"/>
    </xf>
    <xf numFmtId="0" fontId="2" fillId="8" borderId="0" xfId="0" applyFont="1" applyFill="1" applyBorder="1" applyAlignment="1">
      <alignment horizontal="center" vertical="center"/>
    </xf>
    <xf numFmtId="0" fontId="0" fillId="0" borderId="45" xfId="0" applyFont="1" applyBorder="1"/>
    <xf numFmtId="164" fontId="0" fillId="8" borderId="3" xfId="0" applyNumberFormat="1" applyFont="1" applyFill="1" applyBorder="1" applyAlignment="1">
      <alignment horizontal="center" vertical="center"/>
    </xf>
    <xf numFmtId="0" fontId="0" fillId="0" borderId="3" xfId="0" applyFont="1" applyBorder="1"/>
    <xf numFmtId="164" fontId="0" fillId="0" borderId="3" xfId="0" applyNumberFormat="1" applyFont="1" applyBorder="1" applyAlignment="1">
      <alignment horizontal="center"/>
    </xf>
    <xf numFmtId="2" fontId="0" fillId="0" borderId="3" xfId="0" applyNumberFormat="1" applyFont="1" applyFill="1" applyBorder="1" applyAlignment="1" applyProtection="1">
      <alignment horizontal="center"/>
    </xf>
    <xf numFmtId="0" fontId="0" fillId="0" borderId="3" xfId="0" applyFont="1" applyFill="1" applyBorder="1"/>
    <xf numFmtId="2" fontId="0" fillId="0" borderId="41" xfId="0" applyNumberFormat="1" applyFont="1" applyBorder="1" applyAlignment="1">
      <alignment horizontal="center"/>
    </xf>
    <xf numFmtId="0" fontId="0" fillId="0" borderId="41" xfId="0" applyFont="1" applyFill="1" applyBorder="1"/>
    <xf numFmtId="0" fontId="50" fillId="3" borderId="5" xfId="0" applyFont="1" applyFill="1" applyBorder="1" applyAlignment="1" applyProtection="1">
      <alignment horizontal="center"/>
      <protection locked="0"/>
    </xf>
    <xf numFmtId="164" fontId="50" fillId="3" borderId="0" xfId="0" applyNumberFormat="1" applyFont="1" applyFill="1" applyBorder="1" applyAlignment="1" applyProtection="1">
      <alignment horizontal="center"/>
      <protection locked="0"/>
    </xf>
    <xf numFmtId="0" fontId="50" fillId="3" borderId="0" xfId="0" applyFont="1" applyFill="1" applyBorder="1" applyProtection="1">
      <protection locked="0"/>
    </xf>
    <xf numFmtId="0" fontId="50" fillId="3" borderId="7" xfId="0" applyFont="1" applyFill="1" applyBorder="1" applyAlignment="1" applyProtection="1">
      <alignment horizontal="center"/>
      <protection locked="0"/>
    </xf>
    <xf numFmtId="0" fontId="40" fillId="3" borderId="7" xfId="2" applyFont="1" applyFill="1" applyBorder="1" applyAlignment="1" applyProtection="1">
      <alignment horizontal="center"/>
      <protection locked="0"/>
    </xf>
    <xf numFmtId="0" fontId="43" fillId="0" borderId="12" xfId="2" applyFont="1" applyBorder="1"/>
    <xf numFmtId="0" fontId="14" fillId="0" borderId="0" xfId="2"/>
    <xf numFmtId="0" fontId="14" fillId="0" borderId="10" xfId="2" applyBorder="1"/>
    <xf numFmtId="0" fontId="14" fillId="0" borderId="3" xfId="2" applyBorder="1" applyAlignment="1">
      <alignment horizontal="center"/>
    </xf>
    <xf numFmtId="10" fontId="14" fillId="0" borderId="3" xfId="2" applyNumberFormat="1" applyFill="1" applyBorder="1" applyAlignment="1">
      <alignment horizontal="center"/>
    </xf>
    <xf numFmtId="10" fontId="0" fillId="0" borderId="0" xfId="4" applyNumberFormat="1" applyFont="1" applyFill="1" applyBorder="1"/>
    <xf numFmtId="0" fontId="14" fillId="0" borderId="0" xfId="2" applyBorder="1"/>
    <xf numFmtId="0" fontId="44" fillId="0" borderId="3" xfId="2" applyFont="1" applyBorder="1" applyAlignment="1">
      <alignment horizontal="right" vertical="center" wrapText="1"/>
    </xf>
    <xf numFmtId="0" fontId="44" fillId="0" borderId="0" xfId="2" applyFont="1" applyFill="1" applyBorder="1" applyAlignment="1">
      <alignment horizontal="right" vertical="center" wrapText="1"/>
    </xf>
    <xf numFmtId="10" fontId="0" fillId="0" borderId="3" xfId="4" applyNumberFormat="1" applyFont="1" applyFill="1" applyBorder="1" applyAlignment="1">
      <alignment horizontal="center"/>
    </xf>
    <xf numFmtId="10" fontId="0" fillId="0" borderId="13" xfId="4" applyNumberFormat="1" applyFont="1" applyFill="1" applyBorder="1" applyAlignment="1">
      <alignment horizontal="center"/>
    </xf>
    <xf numFmtId="1" fontId="44" fillId="0" borderId="3" xfId="2" applyNumberFormat="1" applyFont="1" applyBorder="1" applyAlignment="1">
      <alignment horizontal="center"/>
    </xf>
    <xf numFmtId="10" fontId="0" fillId="0" borderId="0" xfId="4" applyNumberFormat="1" applyFont="1" applyFill="1" applyBorder="1" applyAlignment="1">
      <alignment horizontal="center"/>
    </xf>
    <xf numFmtId="0" fontId="14" fillId="0" borderId="0" xfId="2" applyBorder="1" applyAlignment="1">
      <alignment horizontal="center"/>
    </xf>
    <xf numFmtId="0" fontId="50" fillId="0" borderId="11" xfId="0" applyFont="1" applyFill="1" applyBorder="1" applyAlignment="1" applyProtection="1">
      <alignment horizontal="center"/>
    </xf>
    <xf numFmtId="0" fontId="50" fillId="0" borderId="2" xfId="0" applyFont="1" applyFill="1" applyBorder="1" applyAlignment="1" applyProtection="1">
      <alignment horizontal="left"/>
    </xf>
    <xf numFmtId="0" fontId="38" fillId="0" borderId="5" xfId="2" applyFont="1" applyBorder="1" applyAlignment="1">
      <alignment horizontal="right"/>
    </xf>
    <xf numFmtId="0" fontId="50" fillId="0" borderId="6" xfId="0" applyFont="1" applyBorder="1" applyAlignment="1">
      <alignment horizontal="left"/>
    </xf>
    <xf numFmtId="0" fontId="44" fillId="0" borderId="12" xfId="2" applyFont="1" applyBorder="1" applyAlignment="1">
      <alignment horizontal="right" vertical="center" wrapText="1"/>
    </xf>
    <xf numFmtId="164" fontId="14" fillId="0" borderId="9" xfId="2" applyNumberFormat="1" applyFill="1" applyBorder="1" applyAlignment="1">
      <alignment horizontal="right"/>
    </xf>
    <xf numFmtId="1" fontId="14" fillId="0" borderId="9" xfId="2" applyNumberFormat="1" applyFill="1" applyBorder="1" applyAlignment="1">
      <alignment horizontal="right"/>
    </xf>
    <xf numFmtId="11" fontId="14" fillId="0" borderId="9" xfId="2" applyNumberFormat="1" applyBorder="1" applyAlignment="1">
      <alignment horizontal="right"/>
    </xf>
    <xf numFmtId="0" fontId="14" fillId="0" borderId="6" xfId="2" applyFill="1" applyBorder="1"/>
    <xf numFmtId="0" fontId="44" fillId="0" borderId="1" xfId="2" applyFont="1" applyFill="1" applyBorder="1" applyAlignment="1">
      <alignment horizontal="right" vertical="center" wrapText="1"/>
    </xf>
    <xf numFmtId="1" fontId="44" fillId="0" borderId="1" xfId="2" applyNumberFormat="1" applyFont="1" applyBorder="1" applyAlignment="1">
      <alignment horizontal="center"/>
    </xf>
    <xf numFmtId="0" fontId="44" fillId="0" borderId="3" xfId="2" applyFont="1" applyBorder="1" applyAlignment="1">
      <alignment horizontal="center"/>
    </xf>
    <xf numFmtId="0" fontId="44" fillId="0" borderId="12" xfId="2" applyFont="1" applyFill="1" applyBorder="1" applyAlignment="1">
      <alignment horizontal="right" vertical="center" wrapText="1"/>
    </xf>
    <xf numFmtId="10" fontId="44" fillId="0" borderId="3" xfId="4" applyNumberFormat="1" applyFont="1" applyBorder="1" applyAlignment="1">
      <alignment horizontal="center"/>
    </xf>
    <xf numFmtId="0" fontId="14" fillId="0" borderId="13" xfId="2" applyBorder="1"/>
    <xf numFmtId="0" fontId="14" fillId="0" borderId="15" xfId="2" applyBorder="1"/>
    <xf numFmtId="1" fontId="44" fillId="0" borderId="14" xfId="2" applyNumberFormat="1" applyFont="1" applyBorder="1" applyAlignment="1">
      <alignment horizontal="center"/>
    </xf>
    <xf numFmtId="0" fontId="0" fillId="8" borderId="3" xfId="0" applyFill="1" applyBorder="1" applyAlignment="1">
      <alignment horizontal="left" vertical="center"/>
    </xf>
    <xf numFmtId="0" fontId="0" fillId="0" borderId="3" xfId="0" applyFill="1" applyBorder="1" applyAlignment="1" applyProtection="1">
      <alignment horizontal="left" vertical="center"/>
    </xf>
    <xf numFmtId="0" fontId="8" fillId="0" borderId="0" xfId="0" applyFont="1" applyAlignment="1">
      <alignment wrapText="1"/>
    </xf>
    <xf numFmtId="166" fontId="8" fillId="3" borderId="0" xfId="1" applyNumberFormat="1" applyFont="1" applyFill="1" applyAlignment="1" applyProtection="1">
      <alignment horizontal="center" vertical="center"/>
      <protection locked="0"/>
    </xf>
    <xf numFmtId="166" fontId="8" fillId="0" borderId="0" xfId="1" applyNumberFormat="1" applyFont="1" applyFill="1" applyAlignment="1">
      <alignment horizontal="center" vertical="center"/>
    </xf>
    <xf numFmtId="166" fontId="8" fillId="0" borderId="8" xfId="1" applyNumberFormat="1" applyFont="1" applyFill="1" applyBorder="1" applyAlignment="1">
      <alignment horizontal="center" vertical="center"/>
    </xf>
    <xf numFmtId="166" fontId="8" fillId="0" borderId="0" xfId="0" applyNumberFormat="1" applyFont="1" applyAlignment="1">
      <alignment horizontal="center" vertical="center"/>
    </xf>
    <xf numFmtId="166" fontId="8" fillId="0" borderId="8" xfId="0" applyNumberFormat="1" applyFont="1" applyBorder="1" applyAlignment="1">
      <alignment horizontal="center" vertical="center"/>
    </xf>
    <xf numFmtId="0" fontId="2" fillId="2" borderId="36" xfId="0" applyFont="1" applyFill="1" applyBorder="1" applyAlignment="1">
      <alignment vertical="center"/>
    </xf>
    <xf numFmtId="0" fontId="2" fillId="2" borderId="37" xfId="0" applyFont="1" applyFill="1" applyBorder="1" applyAlignment="1">
      <alignment vertical="center"/>
    </xf>
    <xf numFmtId="0" fontId="2" fillId="2" borderId="38" xfId="0" applyFont="1" applyFill="1" applyBorder="1" applyAlignment="1">
      <alignment vertical="center"/>
    </xf>
    <xf numFmtId="0" fontId="0" fillId="2" borderId="37" xfId="0" applyFill="1" applyBorder="1" applyAlignment="1">
      <alignment vertical="center"/>
    </xf>
    <xf numFmtId="0" fontId="0" fillId="2" borderId="38" xfId="0" applyFill="1" applyBorder="1" applyAlignment="1">
      <alignment vertical="center"/>
    </xf>
    <xf numFmtId="0" fontId="3" fillId="2" borderId="12" xfId="0" applyFont="1" applyFill="1" applyBorder="1" applyAlignment="1">
      <alignment vertical="center"/>
    </xf>
    <xf numFmtId="0" fontId="0" fillId="2" borderId="9" xfId="0" applyFill="1" applyBorder="1" applyAlignment="1">
      <alignment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0" fillId="0" borderId="12" xfId="0" applyBorder="1" applyAlignment="1">
      <alignment horizontal="right"/>
    </xf>
    <xf numFmtId="2" fontId="0" fillId="0" borderId="10" xfId="0" applyNumberFormat="1" applyBorder="1" applyAlignment="1">
      <alignment horizontal="left"/>
    </xf>
    <xf numFmtId="2" fontId="0" fillId="8" borderId="9" xfId="1" applyNumberFormat="1" applyFont="1" applyFill="1" applyBorder="1" applyAlignment="1">
      <alignment horizontal="center"/>
    </xf>
    <xf numFmtId="164" fontId="2" fillId="16" borderId="0" xfId="0" applyNumberFormat="1" applyFont="1" applyFill="1" applyBorder="1" applyAlignment="1" applyProtection="1">
      <alignment horizontal="center" vertical="center"/>
    </xf>
    <xf numFmtId="2" fontId="2" fillId="16" borderId="0" xfId="0" applyNumberFormat="1" applyFont="1" applyFill="1" applyBorder="1" applyAlignment="1">
      <alignment horizontal="center" vertical="center"/>
    </xf>
    <xf numFmtId="0" fontId="0" fillId="0" borderId="0" xfId="0" applyFill="1" applyAlignment="1">
      <alignment horizontal="center"/>
    </xf>
    <xf numFmtId="0" fontId="2" fillId="16" borderId="0" xfId="0" applyFont="1" applyFill="1" applyAlignment="1">
      <alignment horizontal="center" vertical="center"/>
    </xf>
    <xf numFmtId="0" fontId="2" fillId="8" borderId="0" xfId="0" applyFont="1" applyFill="1" applyAlignment="1">
      <alignment horizontal="center" vertical="center"/>
    </xf>
    <xf numFmtId="0" fontId="61" fillId="0" borderId="12" xfId="0" applyFont="1" applyFill="1" applyBorder="1" applyAlignment="1">
      <alignment horizontal="right" vertical="center" wrapText="1"/>
    </xf>
    <xf numFmtId="0" fontId="43" fillId="9" borderId="4" xfId="2" applyFont="1" applyFill="1" applyBorder="1"/>
    <xf numFmtId="0" fontId="43" fillId="9" borderId="5" xfId="2" applyFont="1" applyFill="1" applyBorder="1"/>
    <xf numFmtId="0" fontId="16" fillId="9" borderId="5" xfId="0" applyFont="1" applyFill="1" applyBorder="1" applyAlignment="1">
      <alignment horizontal="right" vertical="center"/>
    </xf>
    <xf numFmtId="0" fontId="43" fillId="9" borderId="7" xfId="2" applyFont="1" applyFill="1" applyBorder="1"/>
    <xf numFmtId="0" fontId="43" fillId="9" borderId="0" xfId="2" applyFont="1" applyFill="1" applyBorder="1"/>
    <xf numFmtId="0" fontId="16" fillId="9" borderId="0" xfId="0" applyFont="1" applyFill="1" applyBorder="1" applyAlignment="1">
      <alignment horizontal="right" vertical="center"/>
    </xf>
    <xf numFmtId="0" fontId="38" fillId="9" borderId="15" xfId="2" applyFont="1" applyFill="1" applyBorder="1" applyAlignment="1">
      <alignment horizontal="center"/>
    </xf>
    <xf numFmtId="0" fontId="16" fillId="9" borderId="15" xfId="0" applyFont="1" applyFill="1" applyBorder="1" applyAlignment="1">
      <alignment horizontal="center"/>
    </xf>
    <xf numFmtId="0" fontId="43" fillId="9" borderId="11" xfId="2" applyFont="1" applyFill="1" applyBorder="1"/>
    <xf numFmtId="0" fontId="43" fillId="9" borderId="1" xfId="2" applyFont="1" applyFill="1" applyBorder="1"/>
    <xf numFmtId="0" fontId="16" fillId="9" borderId="1" xfId="0" applyFont="1" applyFill="1" applyBorder="1" applyAlignment="1">
      <alignment horizontal="right" vertical="center"/>
    </xf>
    <xf numFmtId="0" fontId="16" fillId="9" borderId="14" xfId="0" applyFont="1" applyFill="1" applyBorder="1" applyAlignment="1">
      <alignment horizontal="center"/>
    </xf>
    <xf numFmtId="0" fontId="38" fillId="9" borderId="14" xfId="2" applyFont="1" applyFill="1" applyBorder="1" applyAlignment="1">
      <alignment horizontal="center"/>
    </xf>
    <xf numFmtId="10" fontId="44" fillId="16" borderId="3" xfId="4" applyNumberFormat="1" applyFont="1" applyFill="1" applyBorder="1" applyAlignment="1">
      <alignment horizontal="center"/>
    </xf>
    <xf numFmtId="10" fontId="50" fillId="3" borderId="7" xfId="1" applyNumberFormat="1" applyFont="1" applyFill="1" applyBorder="1" applyAlignment="1" applyProtection="1">
      <alignment horizontal="center"/>
      <protection locked="0"/>
    </xf>
    <xf numFmtId="164" fontId="44" fillId="16" borderId="4" xfId="2" applyNumberFormat="1" applyFont="1" applyFill="1" applyBorder="1" applyAlignment="1">
      <alignment horizontal="right"/>
    </xf>
    <xf numFmtId="1" fontId="50" fillId="0" borderId="0" xfId="0" applyNumberFormat="1" applyFont="1" applyBorder="1" applyAlignment="1">
      <alignment horizontal="center" vertical="center"/>
    </xf>
    <xf numFmtId="0" fontId="44" fillId="0" borderId="0" xfId="2" applyFont="1" applyAlignment="1">
      <alignment horizontal="right"/>
    </xf>
    <xf numFmtId="165" fontId="2" fillId="3" borderId="0" xfId="0" applyNumberFormat="1" applyFont="1" applyFill="1" applyBorder="1" applyAlignment="1" applyProtection="1">
      <alignment horizontal="center" vertical="center"/>
      <protection locked="0"/>
    </xf>
    <xf numFmtId="165" fontId="2" fillId="3" borderId="0" xfId="0" applyNumberFormat="1" applyFont="1" applyFill="1" applyAlignment="1" applyProtection="1">
      <alignment horizontal="center" vertical="center"/>
      <protection locked="0"/>
    </xf>
    <xf numFmtId="1" fontId="14" fillId="0" borderId="3" xfId="2" applyNumberFormat="1" applyBorder="1" applyAlignment="1">
      <alignment horizontal="center"/>
    </xf>
    <xf numFmtId="11" fontId="44" fillId="5" borderId="12" xfId="2" applyNumberFormat="1" applyFont="1" applyFill="1" applyBorder="1" applyAlignment="1">
      <alignment horizontal="right" vertical="center"/>
    </xf>
    <xf numFmtId="0" fontId="14" fillId="0" borderId="10" xfId="2" applyFill="1" applyBorder="1" applyAlignment="1">
      <alignment vertical="center"/>
    </xf>
    <xf numFmtId="0" fontId="14" fillId="0" borderId="6" xfId="2" applyFill="1" applyBorder="1" applyAlignment="1">
      <alignment vertical="center"/>
    </xf>
    <xf numFmtId="1" fontId="44" fillId="2" borderId="12" xfId="2" applyNumberFormat="1" applyFont="1" applyFill="1" applyBorder="1" applyAlignment="1">
      <alignment horizontal="center"/>
    </xf>
    <xf numFmtId="1" fontId="44" fillId="2" borderId="9" xfId="2" applyNumberFormat="1" applyFont="1" applyFill="1" applyBorder="1" applyAlignment="1">
      <alignment horizontal="center"/>
    </xf>
    <xf numFmtId="1" fontId="44" fillId="2" borderId="10" xfId="2" applyNumberFormat="1" applyFont="1" applyFill="1" applyBorder="1" applyAlignment="1">
      <alignment horizontal="center"/>
    </xf>
    <xf numFmtId="1" fontId="14" fillId="2" borderId="13" xfId="2" applyNumberFormat="1" applyFill="1" applyBorder="1" applyAlignment="1">
      <alignment horizontal="center"/>
    </xf>
    <xf numFmtId="10" fontId="0" fillId="0" borderId="5" xfId="4" applyNumberFormat="1" applyFont="1" applyFill="1" applyBorder="1" applyAlignment="1">
      <alignment horizontal="center"/>
    </xf>
    <xf numFmtId="0" fontId="14" fillId="0" borderId="5" xfId="2" applyBorder="1" applyAlignment="1">
      <alignment horizontal="center"/>
    </xf>
    <xf numFmtId="0" fontId="14" fillId="0" borderId="0" xfId="2" applyFill="1"/>
    <xf numFmtId="0" fontId="34" fillId="2" borderId="12" xfId="2" applyFont="1" applyFill="1" applyBorder="1" applyAlignment="1">
      <alignment vertical="center"/>
    </xf>
    <xf numFmtId="0" fontId="14" fillId="2" borderId="9" xfId="2" applyFill="1" applyBorder="1"/>
    <xf numFmtId="0" fontId="14" fillId="2" borderId="10" xfId="2" applyFill="1" applyBorder="1"/>
    <xf numFmtId="1" fontId="44" fillId="16" borderId="4" xfId="2" applyNumberFormat="1" applyFont="1" applyFill="1" applyBorder="1" applyAlignment="1">
      <alignment horizontal="right"/>
    </xf>
    <xf numFmtId="0" fontId="44" fillId="5" borderId="0" xfId="2" applyFont="1" applyFill="1"/>
    <xf numFmtId="0" fontId="2" fillId="5" borderId="0" xfId="0" applyFont="1" applyFill="1" applyAlignment="1">
      <alignment horizontal="center" vertical="center"/>
    </xf>
    <xf numFmtId="10" fontId="44" fillId="16" borderId="4" xfId="1" applyNumberFormat="1" applyFont="1" applyFill="1" applyBorder="1" applyAlignment="1">
      <alignment horizontal="center"/>
    </xf>
    <xf numFmtId="0" fontId="18" fillId="2" borderId="4" xfId="0" applyFont="1" applyFill="1" applyBorder="1" applyAlignment="1">
      <alignment horizontal="right" vertical="center"/>
    </xf>
    <xf numFmtId="0" fontId="18" fillId="2" borderId="7" xfId="0" applyFont="1" applyFill="1" applyBorder="1" applyAlignment="1">
      <alignment horizontal="right" vertical="center"/>
    </xf>
    <xf numFmtId="0" fontId="2" fillId="0" borderId="11" xfId="0" applyFont="1" applyBorder="1" applyAlignment="1">
      <alignment horizontal="right" vertical="center"/>
    </xf>
    <xf numFmtId="0" fontId="2" fillId="0" borderId="1" xfId="0" applyFont="1" applyFill="1" applyBorder="1" applyAlignment="1" applyProtection="1">
      <alignment horizontal="center" vertical="center" wrapText="1"/>
    </xf>
    <xf numFmtId="0" fontId="2" fillId="0" borderId="2" xfId="0" applyFont="1" applyFill="1" applyBorder="1" applyAlignment="1">
      <alignment horizontal="left" vertical="center" wrapText="1"/>
    </xf>
    <xf numFmtId="0" fontId="16" fillId="2" borderId="3" xfId="0" applyFont="1" applyFill="1" applyBorder="1" applyAlignment="1">
      <alignment horizontal="center" vertical="center" wrapText="1"/>
    </xf>
    <xf numFmtId="1" fontId="50" fillId="0" borderId="13" xfId="1" applyNumberFormat="1" applyFont="1" applyFill="1" applyBorder="1" applyAlignment="1">
      <alignment horizontal="center" vertical="center"/>
    </xf>
    <xf numFmtId="1" fontId="50" fillId="0" borderId="15" xfId="1" applyNumberFormat="1" applyFont="1" applyFill="1" applyBorder="1" applyAlignment="1">
      <alignment horizontal="center" vertical="center"/>
    </xf>
    <xf numFmtId="1" fontId="50" fillId="0" borderId="14" xfId="1" applyNumberFormat="1" applyFont="1" applyFill="1" applyBorder="1" applyAlignment="1">
      <alignment horizontal="center" vertical="center"/>
    </xf>
    <xf numFmtId="0" fontId="43" fillId="0" borderId="15" xfId="2" applyFont="1" applyBorder="1"/>
    <xf numFmtId="0" fontId="43" fillId="0" borderId="14" xfId="2" applyFont="1" applyBorder="1"/>
    <xf numFmtId="0" fontId="3" fillId="2" borderId="9" xfId="0" applyFont="1" applyFill="1" applyBorder="1" applyAlignment="1">
      <alignment horizontal="right"/>
    </xf>
    <xf numFmtId="0" fontId="8" fillId="0" borderId="12" xfId="0" applyFont="1" applyBorder="1" applyAlignment="1">
      <alignment horizontal="right"/>
    </xf>
    <xf numFmtId="165" fontId="2" fillId="16" borderId="0" xfId="0" applyNumberFormat="1" applyFont="1" applyFill="1" applyAlignment="1" applyProtection="1">
      <alignment horizontal="center" vertical="center"/>
    </xf>
    <xf numFmtId="2" fontId="0" fillId="0" borderId="0" xfId="0" applyNumberFormat="1" applyFill="1" applyAlignment="1">
      <alignment horizontal="center"/>
    </xf>
    <xf numFmtId="10" fontId="50" fillId="0" borderId="11" xfId="1" applyNumberFormat="1" applyFont="1" applyFill="1" applyBorder="1" applyAlignment="1" applyProtection="1">
      <alignment horizontal="center"/>
    </xf>
    <xf numFmtId="10" fontId="50" fillId="0" borderId="7" xfId="1" applyNumberFormat="1" applyFont="1" applyFill="1" applyBorder="1" applyAlignment="1" applyProtection="1">
      <alignment horizontal="center"/>
    </xf>
    <xf numFmtId="0" fontId="63" fillId="2" borderId="0" xfId="0" applyFont="1" applyFill="1" applyBorder="1" applyAlignment="1">
      <alignment vertical="center"/>
    </xf>
    <xf numFmtId="0" fontId="63" fillId="2" borderId="0" xfId="0" applyFont="1" applyFill="1" applyAlignment="1">
      <alignment vertical="center"/>
    </xf>
    <xf numFmtId="164" fontId="38" fillId="9" borderId="15" xfId="2" applyNumberFormat="1" applyFont="1" applyFill="1" applyBorder="1" applyAlignment="1">
      <alignment horizontal="center"/>
    </xf>
    <xf numFmtId="0" fontId="38" fillId="2" borderId="12" xfId="2" applyFont="1" applyFill="1" applyBorder="1" applyAlignment="1">
      <alignment horizontal="center"/>
    </xf>
    <xf numFmtId="164" fontId="16" fillId="9" borderId="15" xfId="0" applyNumberFormat="1" applyFont="1" applyFill="1" applyBorder="1" applyAlignment="1">
      <alignment horizontal="center"/>
    </xf>
    <xf numFmtId="0" fontId="38" fillId="2" borderId="10" xfId="2" applyFont="1" applyFill="1" applyBorder="1"/>
    <xf numFmtId="0" fontId="38" fillId="9" borderId="13" xfId="2" applyFont="1" applyFill="1" applyBorder="1"/>
    <xf numFmtId="0" fontId="43" fillId="9" borderId="15" xfId="2" applyFont="1" applyFill="1" applyBorder="1"/>
    <xf numFmtId="0" fontId="43" fillId="9" borderId="14" xfId="2" applyFont="1" applyFill="1" applyBorder="1"/>
    <xf numFmtId="0" fontId="43" fillId="9" borderId="7" xfId="2" applyFont="1" applyFill="1" applyBorder="1" applyAlignment="1">
      <alignment vertical="top"/>
    </xf>
    <xf numFmtId="0" fontId="43" fillId="9" borderId="0" xfId="2" applyFont="1" applyFill="1" applyBorder="1" applyAlignment="1">
      <alignment vertical="top"/>
    </xf>
    <xf numFmtId="0" fontId="16" fillId="9" borderId="7" xfId="0" applyFont="1" applyFill="1" applyBorder="1" applyAlignment="1">
      <alignment horizontal="right" vertical="top"/>
    </xf>
    <xf numFmtId="167" fontId="16" fillId="9" borderId="15" xfId="0" applyNumberFormat="1" applyFont="1" applyFill="1" applyBorder="1" applyAlignment="1">
      <alignment horizontal="center" vertical="top"/>
    </xf>
    <xf numFmtId="0" fontId="38" fillId="9" borderId="15" xfId="2" applyFont="1" applyFill="1" applyBorder="1" applyAlignment="1">
      <alignment vertical="top" wrapText="1"/>
    </xf>
    <xf numFmtId="0" fontId="66" fillId="2" borderId="11" xfId="0" applyFont="1" applyFill="1" applyBorder="1" applyAlignment="1">
      <alignment horizontal="right" vertical="center"/>
    </xf>
    <xf numFmtId="0" fontId="67" fillId="16" borderId="1" xfId="0" applyFont="1" applyFill="1" applyBorder="1" applyAlignment="1">
      <alignment horizontal="center" vertical="center" wrapText="1"/>
    </xf>
    <xf numFmtId="0" fontId="67" fillId="2" borderId="1" xfId="0" applyFont="1" applyFill="1" applyBorder="1" applyAlignment="1">
      <alignment horizontal="center" vertical="center" wrapText="1"/>
    </xf>
    <xf numFmtId="0" fontId="65" fillId="2" borderId="1" xfId="0" applyFont="1" applyFill="1" applyBorder="1" applyAlignment="1">
      <alignment vertical="center"/>
    </xf>
    <xf numFmtId="0" fontId="65" fillId="2" borderId="2" xfId="0" applyFont="1" applyFill="1" applyBorder="1" applyAlignment="1">
      <alignment vertical="center"/>
    </xf>
    <xf numFmtId="0" fontId="64" fillId="2" borderId="12" xfId="0" applyFont="1" applyFill="1" applyBorder="1" applyAlignment="1">
      <alignment horizontal="left"/>
    </xf>
    <xf numFmtId="0" fontId="64" fillId="2" borderId="9" xfId="0" applyFont="1" applyFill="1" applyBorder="1" applyAlignment="1">
      <alignment horizontal="left"/>
    </xf>
    <xf numFmtId="0" fontId="64" fillId="2" borderId="9" xfId="0" applyFont="1" applyFill="1" applyBorder="1" applyAlignment="1">
      <alignment horizontal="left" vertical="center"/>
    </xf>
    <xf numFmtId="0" fontId="64" fillId="2" borderId="9" xfId="0" applyFont="1" applyFill="1" applyBorder="1" applyAlignment="1">
      <alignment vertical="center"/>
    </xf>
    <xf numFmtId="0" fontId="65" fillId="2" borderId="10" xfId="0" applyFont="1" applyFill="1" applyBorder="1" applyAlignment="1">
      <alignment vertical="center"/>
    </xf>
    <xf numFmtId="0" fontId="15" fillId="2" borderId="11" xfId="0" applyFont="1" applyFill="1" applyBorder="1" applyAlignment="1">
      <alignment horizontal="right" vertical="center" wrapText="1"/>
    </xf>
    <xf numFmtId="0" fontId="15" fillId="2" borderId="12" xfId="0" applyFont="1" applyFill="1" applyBorder="1" applyAlignment="1">
      <alignment horizontal="left" vertical="center"/>
    </xf>
    <xf numFmtId="0" fontId="22" fillId="2" borderId="10" xfId="0" applyFont="1" applyFill="1" applyBorder="1" applyAlignment="1">
      <alignment horizontal="left" vertical="center" wrapText="1"/>
    </xf>
    <xf numFmtId="0" fontId="18" fillId="2" borderId="1" xfId="0" applyFont="1" applyFill="1" applyBorder="1" applyAlignment="1">
      <alignment horizontal="left" vertical="center"/>
    </xf>
    <xf numFmtId="0" fontId="2" fillId="3" borderId="5" xfId="0" applyFont="1" applyFill="1" applyBorder="1" applyAlignment="1" applyProtection="1">
      <alignment horizontal="center" vertical="center" wrapText="1"/>
      <protection locked="0"/>
    </xf>
    <xf numFmtId="0" fontId="2" fillId="2" borderId="3" xfId="0" applyFont="1" applyFill="1" applyBorder="1" applyAlignment="1">
      <alignment horizontal="center" vertical="center" wrapText="1"/>
    </xf>
    <xf numFmtId="0" fontId="68" fillId="0" borderId="0" xfId="0" applyFont="1" applyBorder="1" applyAlignment="1">
      <alignment horizontal="center"/>
    </xf>
    <xf numFmtId="0" fontId="0" fillId="2" borderId="1" xfId="0" applyFill="1" applyBorder="1" applyAlignment="1">
      <alignment horizontal="right"/>
    </xf>
    <xf numFmtId="0" fontId="0" fillId="2" borderId="1" xfId="0" applyFont="1" applyFill="1" applyBorder="1" applyAlignment="1">
      <alignment horizontal="center"/>
    </xf>
    <xf numFmtId="12" fontId="29" fillId="2" borderId="1" xfId="0" applyNumberFormat="1" applyFont="1" applyFill="1" applyBorder="1" applyAlignment="1">
      <alignment horizontal="center"/>
    </xf>
    <xf numFmtId="13" fontId="29" fillId="2" borderId="1" xfId="0" applyNumberFormat="1" applyFont="1" applyFill="1" applyBorder="1" applyAlignment="1">
      <alignment horizontal="center" wrapText="1"/>
    </xf>
    <xf numFmtId="2" fontId="0" fillId="2" borderId="1" xfId="0" applyNumberFormat="1" applyFill="1" applyBorder="1" applyAlignment="1">
      <alignment horizontal="center"/>
    </xf>
    <xf numFmtId="0" fontId="0" fillId="2" borderId="2" xfId="0" applyFill="1" applyBorder="1" applyAlignment="1">
      <alignment horizontal="center"/>
    </xf>
    <xf numFmtId="0" fontId="0" fillId="0" borderId="11" xfId="0" applyBorder="1"/>
    <xf numFmtId="0" fontId="18" fillId="2" borderId="12" xfId="0" applyFont="1" applyFill="1" applyBorder="1" applyAlignment="1">
      <alignment horizontal="right" vertical="center" wrapText="1"/>
    </xf>
    <xf numFmtId="0" fontId="2" fillId="0" borderId="0" xfId="0" applyFont="1" applyFill="1" applyBorder="1" applyAlignment="1">
      <alignment horizontal="left" vertical="center" wrapText="1"/>
    </xf>
    <xf numFmtId="2" fontId="15" fillId="2" borderId="0" xfId="0" applyNumberFormat="1" applyFont="1" applyFill="1" applyBorder="1" applyAlignment="1">
      <alignment horizontal="center" vertical="center"/>
    </xf>
    <xf numFmtId="0" fontId="0" fillId="7" borderId="9" xfId="0" applyFill="1" applyBorder="1"/>
    <xf numFmtId="0" fontId="0" fillId="7" borderId="10" xfId="0" applyFill="1" applyBorder="1"/>
    <xf numFmtId="0" fontId="18" fillId="2" borderId="8" xfId="0" applyFont="1" applyFill="1" applyBorder="1" applyAlignment="1">
      <alignment vertical="center"/>
    </xf>
    <xf numFmtId="1" fontId="34" fillId="2" borderId="9" xfId="0" applyNumberFormat="1" applyFont="1" applyFill="1" applyBorder="1" applyAlignment="1">
      <alignment horizontal="center"/>
    </xf>
    <xf numFmtId="0" fontId="18" fillId="2" borderId="10" xfId="0" applyFont="1" applyFill="1" applyBorder="1" applyAlignment="1"/>
    <xf numFmtId="0" fontId="31" fillId="0" borderId="0" xfId="0" applyFont="1" applyBorder="1" applyAlignment="1">
      <alignment horizontal="left" vertical="center" wrapText="1"/>
    </xf>
    <xf numFmtId="2" fontId="15" fillId="2" borderId="5" xfId="0" applyNumberFormat="1" applyFont="1" applyFill="1" applyBorder="1" applyAlignment="1">
      <alignment horizontal="center" vertical="center"/>
    </xf>
    <xf numFmtId="165" fontId="18" fillId="2" borderId="6" xfId="0" applyNumberFormat="1" applyFont="1" applyFill="1" applyBorder="1" applyAlignment="1">
      <alignment vertical="center"/>
    </xf>
    <xf numFmtId="0" fontId="18" fillId="2" borderId="11" xfId="0" applyFont="1" applyFill="1" applyBorder="1" applyAlignment="1">
      <alignment horizontal="right" vertical="center"/>
    </xf>
    <xf numFmtId="2" fontId="15" fillId="2" borderId="1" xfId="0" applyNumberFormat="1" applyFont="1" applyFill="1" applyBorder="1" applyAlignment="1">
      <alignment horizontal="center" vertical="center"/>
    </xf>
    <xf numFmtId="165" fontId="18" fillId="2" borderId="2" xfId="0" applyNumberFormat="1" applyFont="1" applyFill="1" applyBorder="1" applyAlignment="1">
      <alignment vertical="center"/>
    </xf>
    <xf numFmtId="0" fontId="18" fillId="2" borderId="6" xfId="0" applyFont="1" applyFill="1" applyBorder="1" applyAlignment="1">
      <alignment vertical="center"/>
    </xf>
    <xf numFmtId="0" fontId="18" fillId="2" borderId="2" xfId="0" applyFont="1" applyFill="1" applyBorder="1" applyAlignment="1">
      <alignment vertical="center"/>
    </xf>
    <xf numFmtId="0" fontId="18" fillId="7" borderId="4" xfId="0" applyFont="1" applyFill="1" applyBorder="1" applyAlignment="1">
      <alignment horizontal="right" vertical="center"/>
    </xf>
    <xf numFmtId="0" fontId="0" fillId="7" borderId="6" xfId="0" applyFill="1" applyBorder="1"/>
    <xf numFmtId="166" fontId="15" fillId="2" borderId="1" xfId="1" applyNumberFormat="1" applyFont="1" applyFill="1" applyBorder="1" applyAlignment="1">
      <alignment horizontal="center" vertical="center"/>
    </xf>
    <xf numFmtId="0" fontId="18" fillId="2" borderId="11" xfId="0" applyFont="1" applyFill="1" applyBorder="1" applyAlignment="1">
      <alignment horizontal="right" vertical="center" wrapText="1"/>
    </xf>
    <xf numFmtId="1" fontId="34" fillId="2" borderId="1" xfId="0" applyNumberFormat="1" applyFont="1" applyFill="1" applyBorder="1" applyAlignment="1">
      <alignment horizontal="center"/>
    </xf>
    <xf numFmtId="0" fontId="18" fillId="2" borderId="2" xfId="0" applyFont="1" applyFill="1" applyBorder="1" applyAlignment="1"/>
    <xf numFmtId="0" fontId="18" fillId="2" borderId="4" xfId="0" applyFont="1" applyFill="1" applyBorder="1" applyAlignment="1">
      <alignment horizontal="right" vertical="center" wrapText="1"/>
    </xf>
    <xf numFmtId="1" fontId="34" fillId="2" borderId="5" xfId="0" applyNumberFormat="1" applyFont="1" applyFill="1" applyBorder="1" applyAlignment="1">
      <alignment horizontal="center" vertical="center"/>
    </xf>
    <xf numFmtId="0" fontId="18" fillId="7" borderId="12" xfId="0" applyFont="1" applyFill="1" applyBorder="1" applyAlignment="1">
      <alignment horizontal="right" vertical="center" wrapText="1"/>
    </xf>
    <xf numFmtId="1" fontId="15" fillId="7" borderId="9" xfId="0" applyNumberFormat="1" applyFont="1" applyFill="1" applyBorder="1" applyAlignment="1">
      <alignment horizontal="center" vertical="center"/>
    </xf>
    <xf numFmtId="0" fontId="18" fillId="7" borderId="10" xfId="0" applyFont="1" applyFill="1" applyBorder="1" applyAlignment="1">
      <alignment vertical="center"/>
    </xf>
    <xf numFmtId="0" fontId="16" fillId="0" borderId="12" xfId="0" applyFont="1" applyBorder="1" applyAlignment="1">
      <alignment horizontal="left" vertical="center"/>
    </xf>
    <xf numFmtId="0" fontId="40" fillId="0" borderId="9" xfId="2" applyFont="1" applyBorder="1"/>
    <xf numFmtId="0" fontId="43" fillId="0" borderId="9" xfId="2" applyFont="1" applyBorder="1"/>
    <xf numFmtId="0" fontId="16" fillId="0" borderId="9" xfId="0" applyFont="1" applyBorder="1" applyAlignment="1">
      <alignment horizontal="right" vertical="center"/>
    </xf>
    <xf numFmtId="0" fontId="40" fillId="0" borderId="9" xfId="2" applyFont="1" applyBorder="1" applyAlignment="1">
      <alignment horizontal="center"/>
    </xf>
    <xf numFmtId="0" fontId="50" fillId="0" borderId="9" xfId="0" applyFont="1" applyBorder="1" applyAlignment="1">
      <alignment horizontal="left"/>
    </xf>
    <xf numFmtId="0" fontId="50" fillId="0" borderId="10" xfId="0" applyFont="1" applyBorder="1" applyAlignment="1">
      <alignment horizontal="left"/>
    </xf>
    <xf numFmtId="9" fontId="40" fillId="3" borderId="3" xfId="1" applyFont="1" applyFill="1" applyBorder="1" applyAlignment="1" applyProtection="1">
      <alignment horizontal="center"/>
      <protection locked="0"/>
    </xf>
    <xf numFmtId="0" fontId="34" fillId="7" borderId="5" xfId="0" applyFont="1" applyFill="1" applyBorder="1" applyAlignment="1">
      <alignment horizontal="center" wrapText="1"/>
    </xf>
    <xf numFmtId="2" fontId="22" fillId="2" borderId="5" xfId="0" applyNumberFormat="1" applyFont="1" applyFill="1" applyBorder="1"/>
    <xf numFmtId="2" fontId="15" fillId="2" borderId="5" xfId="0" applyNumberFormat="1" applyFont="1" applyFill="1" applyBorder="1" applyAlignment="1">
      <alignment vertical="center"/>
    </xf>
    <xf numFmtId="2" fontId="34" fillId="2" borderId="5" xfId="0" applyNumberFormat="1" applyFont="1" applyFill="1" applyBorder="1" applyAlignment="1">
      <alignment horizontal="center" vertical="center" wrapText="1"/>
    </xf>
    <xf numFmtId="0" fontId="15" fillId="7" borderId="12" xfId="0" applyFont="1" applyFill="1" applyBorder="1" applyAlignment="1">
      <alignment vertical="center"/>
    </xf>
    <xf numFmtId="0" fontId="56" fillId="7" borderId="9" xfId="0" applyFont="1" applyFill="1" applyBorder="1" applyAlignment="1">
      <alignment vertical="center" wrapText="1"/>
    </xf>
    <xf numFmtId="0" fontId="56" fillId="7" borderId="10" xfId="0" applyFont="1" applyFill="1" applyBorder="1" applyAlignment="1">
      <alignment vertical="center" wrapText="1"/>
    </xf>
    <xf numFmtId="0" fontId="61" fillId="7" borderId="12" xfId="0" applyFont="1" applyFill="1" applyBorder="1" applyAlignment="1"/>
    <xf numFmtId="0" fontId="70" fillId="2" borderId="12" xfId="0" applyFont="1" applyFill="1" applyBorder="1"/>
    <xf numFmtId="0" fontId="70" fillId="2" borderId="9" xfId="0" applyFont="1" applyFill="1" applyBorder="1"/>
    <xf numFmtId="0" fontId="0" fillId="3" borderId="3" xfId="0" applyFill="1" applyBorder="1" applyAlignment="1" applyProtection="1">
      <alignment horizontal="center"/>
      <protection locked="0"/>
    </xf>
    <xf numFmtId="12" fontId="0" fillId="3" borderId="3" xfId="0" applyNumberFormat="1" applyFill="1" applyBorder="1" applyAlignment="1" applyProtection="1">
      <alignment horizontal="center"/>
      <protection locked="0"/>
    </xf>
    <xf numFmtId="0" fontId="0" fillId="0" borderId="42" xfId="0" applyFill="1" applyBorder="1" applyAlignment="1" applyProtection="1">
      <alignment horizontal="center"/>
    </xf>
    <xf numFmtId="0" fontId="0" fillId="0" borderId="3" xfId="0" applyBorder="1" applyAlignment="1" applyProtection="1">
      <alignment horizontal="center"/>
    </xf>
    <xf numFmtId="13" fontId="29" fillId="0" borderId="3" xfId="0" applyNumberFormat="1" applyFont="1" applyFill="1" applyBorder="1" applyAlignment="1" applyProtection="1">
      <alignment horizontal="center" wrapText="1"/>
    </xf>
    <xf numFmtId="0" fontId="0" fillId="0" borderId="40" xfId="0" applyBorder="1" applyProtection="1"/>
    <xf numFmtId="2" fontId="60" fillId="0" borderId="40" xfId="0" applyNumberFormat="1" applyFont="1" applyBorder="1" applyAlignment="1" applyProtection="1">
      <alignment horizontal="center"/>
    </xf>
    <xf numFmtId="0" fontId="0" fillId="0" borderId="43" xfId="0" applyBorder="1" applyProtection="1"/>
    <xf numFmtId="2" fontId="60" fillId="0" borderId="43" xfId="0" applyNumberFormat="1" applyFont="1" applyBorder="1" applyAlignment="1" applyProtection="1">
      <alignment horizontal="center"/>
    </xf>
    <xf numFmtId="0" fontId="0" fillId="2" borderId="37" xfId="0" applyFill="1" applyBorder="1"/>
    <xf numFmtId="0" fontId="0" fillId="2" borderId="38" xfId="0" applyFill="1" applyBorder="1"/>
    <xf numFmtId="0" fontId="2" fillId="2" borderId="40" xfId="0" applyFont="1" applyFill="1" applyBorder="1" applyAlignment="1">
      <alignment horizontal="center" vertical="center" wrapText="1"/>
    </xf>
    <xf numFmtId="0" fontId="0" fillId="3" borderId="39" xfId="0" applyFill="1" applyBorder="1" applyAlignment="1" applyProtection="1">
      <alignment horizontal="center"/>
      <protection locked="0"/>
    </xf>
    <xf numFmtId="0" fontId="0" fillId="3" borderId="55" xfId="0" applyFill="1" applyBorder="1" applyAlignment="1" applyProtection="1">
      <alignment horizontal="center"/>
      <protection locked="0"/>
    </xf>
    <xf numFmtId="12" fontId="0" fillId="3" borderId="41" xfId="0" applyNumberFormat="1" applyFill="1" applyBorder="1" applyAlignment="1" applyProtection="1">
      <alignment horizontal="center"/>
      <protection locked="0"/>
    </xf>
    <xf numFmtId="0" fontId="0" fillId="3" borderId="41" xfId="0" applyFill="1" applyBorder="1" applyAlignment="1" applyProtection="1">
      <alignment horizontal="center"/>
      <protection locked="0"/>
    </xf>
    <xf numFmtId="0" fontId="0" fillId="0" borderId="39" xfId="0" applyFill="1" applyBorder="1" applyAlignment="1" applyProtection="1">
      <alignment horizontal="center"/>
    </xf>
    <xf numFmtId="0" fontId="0" fillId="0" borderId="9" xfId="0" applyBorder="1" applyAlignment="1">
      <alignment horizontal="center"/>
    </xf>
    <xf numFmtId="0" fontId="0" fillId="0" borderId="6" xfId="0" applyBorder="1" applyAlignment="1">
      <alignment horizontal="center" vertical="center"/>
    </xf>
    <xf numFmtId="0" fontId="2" fillId="2" borderId="10" xfId="0" applyFont="1" applyFill="1" applyBorder="1" applyAlignment="1">
      <alignment horizontal="right" vertical="center"/>
    </xf>
    <xf numFmtId="164" fontId="0" fillId="0" borderId="3" xfId="0" applyNumberFormat="1" applyBorder="1" applyAlignment="1">
      <alignment horizontal="center" vertical="center"/>
    </xf>
    <xf numFmtId="169" fontId="0" fillId="3" borderId="40" xfId="0" applyNumberFormat="1" applyFill="1" applyBorder="1" applyProtection="1">
      <protection locked="0"/>
    </xf>
    <xf numFmtId="169" fontId="0" fillId="3" borderId="40" xfId="0" applyNumberFormat="1" applyFill="1" applyBorder="1" applyAlignment="1" applyProtection="1">
      <alignment horizontal="center"/>
      <protection locked="0"/>
    </xf>
    <xf numFmtId="169" fontId="0" fillId="3" borderId="56" xfId="0" applyNumberFormat="1" applyFill="1" applyBorder="1" applyAlignment="1" applyProtection="1">
      <alignment horizontal="center"/>
      <protection locked="0"/>
    </xf>
    <xf numFmtId="170" fontId="8" fillId="3" borderId="0" xfId="0" applyNumberFormat="1" applyFont="1" applyFill="1" applyAlignment="1" applyProtection="1">
      <alignment horizontal="center" vertical="center"/>
      <protection locked="0"/>
    </xf>
    <xf numFmtId="170" fontId="8" fillId="0" borderId="0" xfId="0" applyNumberFormat="1" applyFont="1" applyAlignment="1">
      <alignment horizontal="center" vertical="center"/>
    </xf>
    <xf numFmtId="170" fontId="8" fillId="0" borderId="8" xfId="0" applyNumberFormat="1" applyFont="1" applyBorder="1" applyAlignment="1">
      <alignment horizontal="center" vertical="center"/>
    </xf>
    <xf numFmtId="170" fontId="8" fillId="0" borderId="0" xfId="0" applyNumberFormat="1" applyFont="1" applyFill="1" applyAlignment="1" applyProtection="1">
      <alignment horizontal="center" vertical="center"/>
    </xf>
    <xf numFmtId="170" fontId="8" fillId="0" borderId="8" xfId="0" applyNumberFormat="1" applyFont="1" applyFill="1" applyBorder="1" applyAlignment="1" applyProtection="1">
      <alignment horizontal="center" vertical="center"/>
    </xf>
    <xf numFmtId="169" fontId="8" fillId="3" borderId="0" xfId="0" applyNumberFormat="1" applyFont="1" applyFill="1" applyAlignment="1" applyProtection="1">
      <alignment horizontal="center"/>
      <protection locked="0"/>
    </xf>
    <xf numFmtId="169" fontId="8" fillId="0" borderId="0" xfId="0" applyNumberFormat="1" applyFont="1" applyAlignment="1">
      <alignment horizontal="center" vertical="center"/>
    </xf>
    <xf numFmtId="169" fontId="8" fillId="0" borderId="8" xfId="0" applyNumberFormat="1" applyFont="1" applyBorder="1" applyAlignment="1">
      <alignment horizontal="center" vertical="center"/>
    </xf>
    <xf numFmtId="169" fontId="8" fillId="3" borderId="8" xfId="0" applyNumberFormat="1" applyFont="1" applyFill="1" applyBorder="1" applyAlignment="1" applyProtection="1">
      <alignment horizontal="center"/>
      <protection locked="0"/>
    </xf>
    <xf numFmtId="170" fontId="8" fillId="0" borderId="0" xfId="0" applyNumberFormat="1" applyFont="1" applyFill="1" applyAlignment="1">
      <alignment horizontal="center"/>
    </xf>
    <xf numFmtId="170" fontId="8" fillId="0" borderId="8" xfId="0" applyNumberFormat="1" applyFont="1" applyFill="1" applyBorder="1" applyAlignment="1">
      <alignment horizontal="center"/>
    </xf>
    <xf numFmtId="169" fontId="8" fillId="0" borderId="0" xfId="0" applyNumberFormat="1" applyFont="1" applyAlignment="1">
      <alignment horizontal="center"/>
    </xf>
    <xf numFmtId="169" fontId="8" fillId="0" borderId="8" xfId="0" applyNumberFormat="1" applyFont="1" applyBorder="1" applyAlignment="1">
      <alignment horizontal="center"/>
    </xf>
    <xf numFmtId="171" fontId="8" fillId="0" borderId="0" xfId="0" applyNumberFormat="1" applyFont="1" applyAlignment="1">
      <alignment horizontal="center"/>
    </xf>
    <xf numFmtId="171" fontId="8" fillId="0" borderId="8" xfId="0" applyNumberFormat="1" applyFont="1" applyBorder="1" applyAlignment="1">
      <alignment horizontal="center"/>
    </xf>
    <xf numFmtId="169" fontId="8" fillId="0" borderId="0" xfId="0" applyNumberFormat="1" applyFont="1" applyFill="1" applyAlignment="1">
      <alignment horizontal="center"/>
    </xf>
    <xf numFmtId="169" fontId="8" fillId="0" borderId="8" xfId="0" applyNumberFormat="1" applyFont="1" applyFill="1" applyBorder="1" applyAlignment="1">
      <alignment horizontal="center"/>
    </xf>
    <xf numFmtId="169" fontId="8" fillId="3" borderId="8" xfId="0" applyNumberFormat="1" applyFont="1" applyFill="1" applyBorder="1" applyAlignment="1">
      <alignment horizontal="center"/>
    </xf>
    <xf numFmtId="170" fontId="8" fillId="0" borderId="0" xfId="0" applyNumberFormat="1" applyFont="1" applyAlignment="1">
      <alignment horizontal="center"/>
    </xf>
    <xf numFmtId="170" fontId="8" fillId="0" borderId="8" xfId="0" applyNumberFormat="1" applyFont="1" applyBorder="1" applyAlignment="1">
      <alignment horizontal="center"/>
    </xf>
    <xf numFmtId="169" fontId="3" fillId="2" borderId="9" xfId="0" applyNumberFormat="1" applyFont="1" applyFill="1" applyBorder="1" applyAlignment="1">
      <alignment horizontal="center"/>
    </xf>
    <xf numFmtId="169" fontId="3" fillId="2" borderId="10" xfId="0" applyNumberFormat="1" applyFont="1" applyFill="1" applyBorder="1" applyAlignment="1">
      <alignment horizontal="center"/>
    </xf>
    <xf numFmtId="169" fontId="8" fillId="0" borderId="9" xfId="0" applyNumberFormat="1" applyFont="1" applyBorder="1" applyAlignment="1">
      <alignment horizontal="center"/>
    </xf>
    <xf numFmtId="169" fontId="8" fillId="0" borderId="10" xfId="0" applyNumberFormat="1" applyFont="1" applyBorder="1" applyAlignment="1">
      <alignment horizontal="center"/>
    </xf>
    <xf numFmtId="169" fontId="0" fillId="0" borderId="0" xfId="0" applyNumberFormat="1" applyAlignment="1">
      <alignment horizontal="center"/>
    </xf>
    <xf numFmtId="169" fontId="2" fillId="8" borderId="0" xfId="0" applyNumberFormat="1" applyFont="1" applyFill="1" applyBorder="1" applyAlignment="1">
      <alignment horizontal="center" vertical="center"/>
    </xf>
    <xf numFmtId="0" fontId="8" fillId="0" borderId="0" xfId="0" applyNumberFormat="1" applyFont="1" applyAlignment="1">
      <alignment horizontal="center"/>
    </xf>
    <xf numFmtId="0" fontId="8" fillId="0" borderId="8" xfId="0" applyNumberFormat="1" applyFont="1" applyBorder="1" applyAlignment="1">
      <alignment horizontal="center"/>
    </xf>
    <xf numFmtId="173" fontId="31" fillId="8" borderId="0" xfId="0" applyNumberFormat="1" applyFont="1" applyFill="1" applyBorder="1" applyAlignment="1">
      <alignment horizontal="center" vertical="center"/>
    </xf>
    <xf numFmtId="172" fontId="2" fillId="8" borderId="0" xfId="0" applyNumberFormat="1" applyFont="1" applyFill="1" applyBorder="1" applyAlignment="1" applyProtection="1">
      <alignment horizontal="center"/>
    </xf>
    <xf numFmtId="172" fontId="31" fillId="0" borderId="0" xfId="0" applyNumberFormat="1" applyFont="1" applyFill="1" applyBorder="1" applyAlignment="1">
      <alignment horizontal="center" vertical="center" wrapText="1"/>
    </xf>
    <xf numFmtId="174" fontId="8" fillId="3" borderId="0" xfId="0" applyNumberFormat="1" applyFont="1" applyFill="1" applyAlignment="1" applyProtection="1">
      <alignment horizontal="center" vertical="center"/>
      <protection locked="0"/>
    </xf>
    <xf numFmtId="174" fontId="8" fillId="0" borderId="0" xfId="0" applyNumberFormat="1" applyFont="1" applyAlignment="1">
      <alignment horizontal="center" vertical="center"/>
    </xf>
    <xf numFmtId="174" fontId="8" fillId="0" borderId="8" xfId="0" applyNumberFormat="1" applyFont="1" applyBorder="1" applyAlignment="1">
      <alignment horizontal="center" vertical="center"/>
    </xf>
    <xf numFmtId="174" fontId="8" fillId="0" borderId="0" xfId="0" applyNumberFormat="1" applyFont="1" applyFill="1" applyAlignment="1" applyProtection="1">
      <alignment horizontal="center" vertical="center"/>
    </xf>
    <xf numFmtId="174" fontId="8" fillId="0" borderId="8" xfId="0" applyNumberFormat="1" applyFont="1" applyFill="1" applyBorder="1" applyAlignment="1" applyProtection="1">
      <alignment horizontal="center" vertical="center"/>
    </xf>
    <xf numFmtId="174" fontId="8" fillId="0" borderId="0" xfId="0" applyNumberFormat="1" applyFont="1" applyFill="1" applyAlignment="1">
      <alignment horizontal="center"/>
    </xf>
    <xf numFmtId="174" fontId="8" fillId="0" borderId="8" xfId="0" applyNumberFormat="1" applyFont="1" applyFill="1" applyBorder="1" applyAlignment="1">
      <alignment horizontal="center"/>
    </xf>
    <xf numFmtId="172" fontId="8" fillId="0" borderId="0" xfId="0" applyNumberFormat="1" applyFont="1" applyFill="1" applyAlignment="1" applyProtection="1">
      <alignment horizontal="center"/>
    </xf>
    <xf numFmtId="172" fontId="8" fillId="0" borderId="0" xfId="0" applyNumberFormat="1" applyFont="1" applyFill="1" applyAlignment="1" applyProtection="1">
      <alignment horizontal="center"/>
      <protection locked="0"/>
    </xf>
    <xf numFmtId="172" fontId="8" fillId="0" borderId="8" xfId="0" applyNumberFormat="1" applyFont="1" applyFill="1" applyBorder="1" applyAlignment="1" applyProtection="1">
      <alignment horizontal="center"/>
      <protection locked="0"/>
    </xf>
    <xf numFmtId="172" fontId="8" fillId="0" borderId="0" xfId="0" applyNumberFormat="1" applyFont="1" applyAlignment="1">
      <alignment horizontal="center" vertical="center"/>
    </xf>
    <xf numFmtId="172" fontId="8" fillId="0" borderId="8" xfId="0" applyNumberFormat="1" applyFont="1" applyBorder="1" applyAlignment="1">
      <alignment horizontal="center" vertical="center"/>
    </xf>
    <xf numFmtId="176" fontId="31" fillId="0" borderId="0" xfId="0" applyNumberFormat="1" applyFont="1" applyBorder="1" applyAlignment="1">
      <alignment horizontal="left" vertical="center" wrapText="1"/>
    </xf>
    <xf numFmtId="177" fontId="50" fillId="3" borderId="4" xfId="0" applyNumberFormat="1" applyFont="1" applyFill="1" applyBorder="1" applyAlignment="1" applyProtection="1">
      <alignment horizontal="center"/>
      <protection locked="0"/>
    </xf>
    <xf numFmtId="178" fontId="50" fillId="0" borderId="7" xfId="0" applyNumberFormat="1" applyFont="1" applyFill="1" applyBorder="1" applyAlignment="1" applyProtection="1">
      <alignment horizontal="center"/>
    </xf>
    <xf numFmtId="169" fontId="0" fillId="0" borderId="12" xfId="0" applyNumberFormat="1" applyFill="1" applyBorder="1" applyAlignment="1" applyProtection="1">
      <alignment horizontal="center"/>
    </xf>
    <xf numFmtId="169" fontId="68" fillId="0" borderId="8" xfId="0" applyNumberFormat="1" applyFont="1" applyFill="1" applyBorder="1" applyAlignment="1">
      <alignment horizontal="center"/>
    </xf>
    <xf numFmtId="173" fontId="8" fillId="0" borderId="0" xfId="0" applyNumberFormat="1" applyFont="1" applyAlignment="1">
      <alignment horizontal="center" vertical="center"/>
    </xf>
    <xf numFmtId="173" fontId="8" fillId="0" borderId="8" xfId="0" applyNumberFormat="1" applyFont="1" applyBorder="1" applyAlignment="1">
      <alignment horizontal="center" vertical="center"/>
    </xf>
    <xf numFmtId="0" fontId="38" fillId="0" borderId="19" xfId="2" applyFont="1" applyBorder="1" applyAlignment="1">
      <alignment horizontal="center"/>
    </xf>
    <xf numFmtId="0" fontId="40" fillId="14" borderId="0" xfId="2" applyFont="1" applyFill="1" applyBorder="1" applyAlignment="1"/>
    <xf numFmtId="0" fontId="16" fillId="2" borderId="12" xfId="0" applyFont="1" applyFill="1" applyBorder="1" applyAlignment="1">
      <alignment horizontal="left" vertical="center" wrapText="1"/>
    </xf>
    <xf numFmtId="0" fontId="0" fillId="2" borderId="10" xfId="0" applyFill="1" applyBorder="1" applyAlignment="1">
      <alignment horizontal="left" vertical="center" wrapText="1"/>
    </xf>
    <xf numFmtId="0" fontId="50" fillId="3" borderId="1" xfId="0" applyFont="1" applyFill="1" applyBorder="1" applyAlignment="1" applyProtection="1">
      <alignment horizontal="left" vertical="center" wrapText="1"/>
      <protection locked="0"/>
    </xf>
    <xf numFmtId="0" fontId="50" fillId="0" borderId="1" xfId="0" applyFont="1" applyBorder="1" applyAlignment="1" applyProtection="1">
      <alignment horizontal="left" wrapText="1"/>
      <protection locked="0"/>
    </xf>
    <xf numFmtId="0" fontId="0" fillId="0" borderId="1" xfId="0" applyBorder="1" applyAlignment="1" applyProtection="1">
      <alignment wrapText="1"/>
      <protection locked="0"/>
    </xf>
    <xf numFmtId="0" fontId="0" fillId="0" borderId="1" xfId="0" applyBorder="1" applyAlignment="1">
      <alignment wrapText="1"/>
    </xf>
    <xf numFmtId="0" fontId="0" fillId="0" borderId="2" xfId="0" applyBorder="1" applyAlignment="1">
      <alignment wrapText="1"/>
    </xf>
    <xf numFmtId="0" fontId="23" fillId="2" borderId="12" xfId="0" applyFont="1" applyFill="1" applyBorder="1" applyAlignment="1">
      <alignment wrapText="1"/>
    </xf>
    <xf numFmtId="0" fontId="19" fillId="0" borderId="9" xfId="0" applyFont="1" applyBorder="1" applyAlignment="1">
      <alignment wrapText="1"/>
    </xf>
    <xf numFmtId="0" fontId="19" fillId="0" borderId="10" xfId="0" applyFont="1" applyBorder="1" applyAlignment="1">
      <alignment wrapText="1"/>
    </xf>
    <xf numFmtId="0" fontId="23" fillId="2" borderId="12" xfId="0" applyFont="1" applyFill="1" applyBorder="1" applyAlignment="1">
      <alignment vertical="center"/>
    </xf>
    <xf numFmtId="0" fontId="0" fillId="0" borderId="9" xfId="0" applyBorder="1" applyAlignment="1"/>
    <xf numFmtId="0" fontId="0" fillId="0" borderId="10" xfId="0" applyBorder="1" applyAlignment="1"/>
    <xf numFmtId="0" fontId="0" fillId="6" borderId="3" xfId="0" applyFill="1" applyBorder="1" applyAlignment="1">
      <alignment horizontal="left" vertical="center" wrapText="1"/>
    </xf>
    <xf numFmtId="0" fontId="0" fillId="0" borderId="3" xfId="0" applyBorder="1" applyAlignment="1">
      <alignment horizontal="left" vertical="center" wrapText="1"/>
    </xf>
    <xf numFmtId="0" fontId="2" fillId="2" borderId="3" xfId="0" applyFont="1" applyFill="1" applyBorder="1" applyAlignment="1">
      <alignment horizontal="center" vertical="center" wrapText="1"/>
    </xf>
    <xf numFmtId="0" fontId="0" fillId="0" borderId="3" xfId="0" applyBorder="1" applyAlignment="1">
      <alignment wrapText="1"/>
    </xf>
    <xf numFmtId="0" fontId="0" fillId="6" borderId="12" xfId="0" applyFill="1"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26" fillId="2" borderId="12" xfId="0" applyFont="1" applyFill="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15" fillId="2" borderId="12" xfId="0" applyFont="1" applyFill="1" applyBorder="1" applyAlignment="1">
      <alignment horizontal="center" wrapText="1"/>
    </xf>
    <xf numFmtId="0" fontId="22" fillId="2" borderId="9" xfId="0" applyFont="1" applyFill="1" applyBorder="1" applyAlignment="1">
      <alignment horizontal="center" wrapText="1"/>
    </xf>
    <xf numFmtId="0" fontId="22" fillId="2" borderId="10" xfId="0" applyFont="1" applyFill="1" applyBorder="1" applyAlignment="1">
      <alignment horizontal="center" wrapText="1"/>
    </xf>
    <xf numFmtId="0" fontId="15" fillId="16" borderId="1" xfId="0" applyFont="1" applyFill="1" applyBorder="1" applyAlignment="1">
      <alignment horizontal="left" vertical="center"/>
    </xf>
    <xf numFmtId="0" fontId="0" fillId="0" borderId="1" xfId="0" applyBorder="1" applyAlignment="1"/>
    <xf numFmtId="0" fontId="15" fillId="2" borderId="12" xfId="0" applyFont="1" applyFill="1" applyBorder="1" applyAlignment="1">
      <alignment horizontal="center" vertical="center" wrapText="1"/>
    </xf>
    <xf numFmtId="0" fontId="22" fillId="2" borderId="10" xfId="0" applyFont="1" applyFill="1" applyBorder="1" applyAlignment="1">
      <alignment vertical="center" wrapText="1"/>
    </xf>
    <xf numFmtId="0" fontId="15" fillId="2" borderId="12" xfId="0" applyFont="1" applyFill="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20" fillId="2" borderId="12" xfId="0" applyFont="1" applyFill="1" applyBorder="1" applyAlignment="1">
      <alignment vertical="center" wrapText="1"/>
    </xf>
    <xf numFmtId="0" fontId="22" fillId="0" borderId="9" xfId="0" applyFont="1" applyBorder="1" applyAlignment="1">
      <alignment vertical="center" wrapText="1"/>
    </xf>
    <xf numFmtId="0" fontId="27" fillId="0" borderId="4" xfId="0" applyFont="1" applyFill="1" applyBorder="1" applyAlignment="1">
      <alignment vertical="center" wrapText="1"/>
    </xf>
    <xf numFmtId="0" fontId="56" fillId="0" borderId="5" xfId="0" applyFont="1" applyBorder="1" applyAlignment="1">
      <alignment vertical="center" wrapText="1"/>
    </xf>
    <xf numFmtId="0" fontId="56" fillId="0" borderId="6" xfId="0" applyFont="1" applyBorder="1" applyAlignment="1">
      <alignment vertical="center" wrapText="1"/>
    </xf>
    <xf numFmtId="0" fontId="56" fillId="0" borderId="11" xfId="0" applyFont="1" applyBorder="1" applyAlignment="1">
      <alignment vertical="center" wrapText="1"/>
    </xf>
    <xf numFmtId="0" fontId="56" fillId="0" borderId="1" xfId="0" applyFont="1" applyBorder="1" applyAlignment="1">
      <alignment vertical="center" wrapText="1"/>
    </xf>
    <xf numFmtId="0" fontId="56" fillId="0" borderId="2" xfId="0" applyFont="1" applyBorder="1" applyAlignment="1">
      <alignment vertical="center" wrapText="1"/>
    </xf>
    <xf numFmtId="0" fontId="0" fillId="0" borderId="7" xfId="0" applyFill="1" applyBorder="1" applyAlignment="1">
      <alignment wrapText="1"/>
    </xf>
    <xf numFmtId="0" fontId="0" fillId="0" borderId="0" xfId="0" applyBorder="1" applyAlignment="1">
      <alignment wrapText="1"/>
    </xf>
    <xf numFmtId="0" fontId="0" fillId="0" borderId="8"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29" fillId="0" borderId="7" xfId="0" applyFont="1" applyBorder="1" applyAlignment="1">
      <alignment horizontal="left" wrapText="1"/>
    </xf>
    <xf numFmtId="0" fontId="31" fillId="0" borderId="7" xfId="0" applyFont="1" applyBorder="1" applyAlignment="1">
      <alignment horizontal="left" wrapText="1"/>
    </xf>
    <xf numFmtId="0" fontId="0" fillId="0" borderId="11" xfId="0" applyFill="1" applyBorder="1" applyAlignment="1">
      <alignment wrapText="1"/>
    </xf>
    <xf numFmtId="164" fontId="2" fillId="0" borderId="3" xfId="0" applyNumberFormat="1" applyFont="1" applyFill="1" applyBorder="1" applyAlignment="1" applyProtection="1">
      <alignment horizontal="center"/>
    </xf>
    <xf numFmtId="0" fontId="0" fillId="0" borderId="3" xfId="0" applyFill="1" applyBorder="1" applyAlignment="1" applyProtection="1"/>
    <xf numFmtId="0" fontId="44" fillId="2" borderId="3" xfId="2" applyFont="1" applyFill="1" applyBorder="1" applyAlignment="1">
      <alignment horizontal="center" vertical="center" wrapText="1"/>
    </xf>
    <xf numFmtId="0" fontId="2" fillId="2" borderId="3" xfId="0" applyFont="1" applyFill="1" applyBorder="1" applyAlignment="1">
      <alignment wrapText="1"/>
    </xf>
    <xf numFmtId="173" fontId="8" fillId="7" borderId="0" xfId="0" applyNumberFormat="1" applyFont="1" applyFill="1" applyAlignment="1" applyProtection="1">
      <alignment horizontal="center" vertical="center"/>
      <protection locked="0"/>
    </xf>
    <xf numFmtId="1" fontId="8" fillId="7" borderId="0" xfId="0" applyNumberFormat="1" applyFont="1" applyFill="1" applyAlignment="1" applyProtection="1">
      <alignment horizontal="center"/>
      <protection locked="0"/>
    </xf>
    <xf numFmtId="0" fontId="8" fillId="7" borderId="0" xfId="0" applyFont="1" applyFill="1"/>
    <xf numFmtId="0" fontId="8" fillId="7" borderId="0" xfId="0" applyFont="1" applyFill="1" applyAlignment="1">
      <alignment horizontal="right"/>
    </xf>
    <xf numFmtId="0" fontId="8" fillId="7" borderId="0" xfId="0" applyFont="1" applyFill="1" applyAlignment="1">
      <alignment horizontal="center" vertical="center"/>
    </xf>
    <xf numFmtId="0" fontId="8" fillId="7" borderId="8" xfId="0" applyFont="1" applyFill="1" applyBorder="1" applyAlignment="1">
      <alignment horizontal="center" vertical="center"/>
    </xf>
    <xf numFmtId="0" fontId="0" fillId="7" borderId="0" xfId="0" applyFill="1" applyAlignment="1">
      <alignment vertical="center"/>
    </xf>
    <xf numFmtId="0" fontId="0" fillId="7" borderId="0" xfId="0" applyFill="1"/>
    <xf numFmtId="0" fontId="0" fillId="7" borderId="8" xfId="0" applyFill="1" applyBorder="1"/>
    <xf numFmtId="0" fontId="0" fillId="7" borderId="39" xfId="0" applyFill="1" applyBorder="1" applyAlignment="1" applyProtection="1">
      <alignment horizontal="center"/>
      <protection locked="0"/>
    </xf>
    <xf numFmtId="12" fontId="0" fillId="7" borderId="3" xfId="0" applyNumberFormat="1" applyFill="1" applyBorder="1" applyAlignment="1" applyProtection="1">
      <alignment horizontal="center"/>
      <protection locked="0"/>
    </xf>
    <xf numFmtId="0" fontId="0" fillId="7" borderId="3" xfId="0" applyFill="1" applyBorder="1" applyAlignment="1" applyProtection="1">
      <alignment horizontal="center"/>
      <protection locked="0"/>
    </xf>
    <xf numFmtId="169" fontId="0" fillId="7" borderId="40" xfId="0" applyNumberFormat="1" applyFill="1" applyBorder="1" applyAlignment="1" applyProtection="1">
      <alignment horizontal="center"/>
      <protection locked="0"/>
    </xf>
    <xf numFmtId="0" fontId="8" fillId="7" borderId="0" xfId="0" applyFont="1" applyFill="1" applyAlignment="1">
      <alignment horizontal="right" vertical="center"/>
    </xf>
    <xf numFmtId="169" fontId="14" fillId="7" borderId="3" xfId="3" applyNumberFormat="1" applyFont="1" applyFill="1" applyBorder="1" applyAlignment="1">
      <alignment horizontal="center" vertical="center"/>
    </xf>
    <xf numFmtId="1" fontId="8" fillId="7" borderId="8" xfId="0" applyNumberFormat="1" applyFont="1" applyFill="1" applyBorder="1" applyAlignment="1" applyProtection="1">
      <alignment horizontal="center"/>
      <protection locked="0"/>
    </xf>
    <xf numFmtId="0" fontId="0" fillId="7" borderId="3" xfId="0" applyFill="1" applyBorder="1" applyAlignment="1" applyProtection="1">
      <alignment horizontal="left" vertical="center"/>
      <protection locked="0"/>
    </xf>
    <xf numFmtId="170" fontId="0" fillId="7" borderId="3" xfId="0" applyNumberFormat="1" applyFill="1" applyBorder="1" applyAlignment="1" applyProtection="1">
      <alignment horizontal="center" vertical="center"/>
      <protection locked="0"/>
    </xf>
    <xf numFmtId="175" fontId="0" fillId="7" borderId="3" xfId="0" applyNumberFormat="1" applyFill="1" applyBorder="1" applyAlignment="1" applyProtection="1">
      <alignment horizontal="center" vertical="center"/>
      <protection locked="0"/>
    </xf>
    <xf numFmtId="171" fontId="0" fillId="7" borderId="12" xfId="0" applyNumberFormat="1" applyFill="1" applyBorder="1" applyAlignment="1">
      <alignment horizontal="center" vertical="center"/>
    </xf>
    <xf numFmtId="0" fontId="0" fillId="7" borderId="12" xfId="0" applyFill="1" applyBorder="1" applyAlignment="1">
      <alignment horizontal="left" vertical="center" wrapText="1"/>
    </xf>
    <xf numFmtId="0" fontId="0" fillId="7" borderId="9" xfId="0" applyFill="1" applyBorder="1" applyAlignment="1">
      <alignment horizontal="left" vertical="center" wrapText="1"/>
    </xf>
    <xf numFmtId="0" fontId="0" fillId="7" borderId="10" xfId="0" applyFill="1" applyBorder="1" applyAlignment="1">
      <alignment horizontal="left" vertical="center" wrapText="1"/>
    </xf>
    <xf numFmtId="0" fontId="0" fillId="7" borderId="0" xfId="0" applyFill="1" applyBorder="1"/>
    <xf numFmtId="0" fontId="0" fillId="7" borderId="3" xfId="0" applyFill="1" applyBorder="1" applyAlignment="1" applyProtection="1">
      <alignment horizontal="left"/>
      <protection locked="0"/>
    </xf>
    <xf numFmtId="170" fontId="0" fillId="7" borderId="3" xfId="0" applyNumberFormat="1" applyFill="1" applyBorder="1" applyAlignment="1" applyProtection="1">
      <alignment horizontal="center"/>
      <protection locked="0"/>
    </xf>
    <xf numFmtId="175" fontId="0" fillId="7" borderId="3" xfId="0" applyNumberFormat="1" applyFill="1" applyBorder="1" applyAlignment="1" applyProtection="1">
      <alignment horizontal="center"/>
      <protection locked="0"/>
    </xf>
    <xf numFmtId="0" fontId="0" fillId="7" borderId="3" xfId="0" applyFill="1" applyBorder="1" applyAlignment="1"/>
    <xf numFmtId="0" fontId="2" fillId="7" borderId="7" xfId="0" applyFont="1" applyFill="1" applyBorder="1" applyAlignment="1" applyProtection="1">
      <alignment horizontal="right" vertical="center"/>
    </xf>
    <xf numFmtId="0" fontId="2" fillId="7" borderId="0" xfId="0" applyFont="1" applyFill="1" applyBorder="1" applyAlignment="1" applyProtection="1">
      <alignment horizontal="center" vertical="center"/>
      <protection locked="0"/>
    </xf>
    <xf numFmtId="0" fontId="8" fillId="7" borderId="0" xfId="0" applyFont="1" applyFill="1" applyBorder="1" applyAlignment="1">
      <alignment horizontal="right"/>
    </xf>
    <xf numFmtId="0" fontId="3" fillId="7" borderId="0" xfId="0" applyFont="1" applyFill="1" applyProtection="1">
      <protection locked="0"/>
    </xf>
    <xf numFmtId="0" fontId="59" fillId="7" borderId="0" xfId="0" applyFont="1" applyFill="1" applyAlignment="1">
      <alignment horizontal="right"/>
    </xf>
    <xf numFmtId="172" fontId="3" fillId="7" borderId="0" xfId="0" applyNumberFormat="1" applyFont="1" applyFill="1" applyAlignment="1" applyProtection="1">
      <alignment horizontal="left"/>
      <protection locked="0"/>
    </xf>
    <xf numFmtId="0" fontId="8" fillId="7" borderId="0" xfId="0" applyFont="1" applyFill="1" applyBorder="1"/>
    <xf numFmtId="0" fontId="3" fillId="7" borderId="0" xfId="0" applyFont="1" applyFill="1" applyBorder="1"/>
    <xf numFmtId="2" fontId="3" fillId="7" borderId="0" xfId="0" applyNumberFormat="1" applyFont="1" applyFill="1" applyAlignment="1" applyProtection="1">
      <alignment horizontal="left"/>
      <protection locked="0"/>
    </xf>
    <xf numFmtId="0" fontId="3" fillId="7" borderId="0" xfId="0" applyFont="1" applyFill="1" applyBorder="1" applyAlignment="1">
      <alignment horizontal="right"/>
    </xf>
    <xf numFmtId="172" fontId="3" fillId="7" borderId="0" xfId="0" applyNumberFormat="1" applyFont="1" applyFill="1" applyBorder="1" applyAlignment="1">
      <alignment horizontal="left"/>
    </xf>
    <xf numFmtId="172" fontId="8" fillId="7" borderId="0" xfId="0" applyNumberFormat="1" applyFont="1" applyFill="1" applyBorder="1" applyAlignment="1">
      <alignment horizontal="left"/>
    </xf>
    <xf numFmtId="0" fontId="8" fillId="7" borderId="1" xfId="0" applyFont="1" applyFill="1" applyBorder="1" applyAlignment="1">
      <alignment horizontal="right"/>
    </xf>
    <xf numFmtId="2" fontId="3" fillId="7" borderId="1" xfId="0" applyNumberFormat="1" applyFont="1" applyFill="1" applyBorder="1" applyAlignment="1" applyProtection="1">
      <alignment horizontal="left"/>
      <protection locked="0"/>
    </xf>
    <xf numFmtId="0" fontId="8" fillId="7" borderId="1" xfId="0" applyFont="1" applyFill="1" applyBorder="1"/>
    <xf numFmtId="172" fontId="8" fillId="7" borderId="1" xfId="0" applyNumberFormat="1" applyFont="1" applyFill="1" applyBorder="1" applyAlignment="1">
      <alignment horizontal="left"/>
    </xf>
    <xf numFmtId="0" fontId="3" fillId="7" borderId="1" xfId="0" applyFont="1" applyFill="1" applyBorder="1" applyAlignment="1">
      <alignment horizontal="right"/>
    </xf>
    <xf numFmtId="172" fontId="3" fillId="7" borderId="1" xfId="0" applyNumberFormat="1" applyFont="1" applyFill="1" applyBorder="1" applyAlignment="1">
      <alignment horizontal="left"/>
    </xf>
  </cellXfs>
  <cellStyles count="5">
    <cellStyle name="Comma 2" xfId="3"/>
    <cellStyle name="Normal" xfId="0" builtinId="0"/>
    <cellStyle name="Normal 2" xfId="2"/>
    <cellStyle name="Percent" xfId="1" builtinId="5"/>
    <cellStyle name="Percent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SNR vs Path Length</a:t>
            </a:r>
            <a:br>
              <a:rPr lang="en-US"/>
            </a:br>
            <a:r>
              <a:rPr lang="en-US" sz="1400"/>
              <a:t>Erceg-SUI Modified Path Loss Model</a:t>
            </a:r>
            <a:endParaRPr lang="en-US"/>
          </a:p>
        </c:rich>
      </c:tx>
    </c:title>
    <c:plotArea>
      <c:layout/>
      <c:scatterChart>
        <c:scatterStyle val="smoothMarker"/>
        <c:ser>
          <c:idx val="2"/>
          <c:order val="0"/>
          <c:tx>
            <c:strRef>
              <c:f>'2-SNR-Chan Cap vs Range'!$L$44</c:f>
              <c:strCache>
                <c:ptCount val="1"/>
                <c:pt idx="0">
                  <c:v>Type C</c:v>
                </c:pt>
              </c:strCache>
            </c:strRef>
          </c:tx>
          <c:marker>
            <c:symbol val="none"/>
          </c:marker>
          <c:xVal>
            <c:numRef>
              <c:f>'2-SNR-Chan Cap vs Range'!$L$46:$L$71</c:f>
              <c:numCache>
                <c:formatCode>0.00</c:formatCode>
                <c:ptCount val="26"/>
                <c:pt idx="0">
                  <c:v>0.1</c:v>
                </c:pt>
                <c:pt idx="1">
                  <c:v>0.12073431913847252</c:v>
                </c:pt>
                <c:pt idx="2">
                  <c:v>0.13839635701730396</c:v>
                </c:pt>
                <c:pt idx="3">
                  <c:v>0.15404651068262334</c:v>
                </c:pt>
                <c:pt idx="4">
                  <c:v>0.1682471493705677</c:v>
                </c:pt>
                <c:pt idx="5">
                  <c:v>0.18133912729786875</c:v>
                </c:pt>
                <c:pt idx="6">
                  <c:v>0.19354755205629232</c:v>
                </c:pt>
                <c:pt idx="7">
                  <c:v>0.20503031659931104</c:v>
                </c:pt>
                <c:pt idx="8">
                  <c:v>0.21590323421070895</c:v>
                </c:pt>
                <c:pt idx="9">
                  <c:v>0.22625424274579864</c:v>
                </c:pt>
                <c:pt idx="10">
                  <c:v>0.23615198110180086</c:v>
                </c:pt>
                <c:pt idx="11">
                  <c:v>0.24565124464601404</c:v>
                </c:pt>
                <c:pt idx="12">
                  <c:v>0.2547966047928551</c:v>
                </c:pt>
                <c:pt idx="13">
                  <c:v>0.26362489569802949</c:v>
                </c:pt>
                <c:pt idx="14">
                  <c:v>0.27216697347332108</c:v>
                </c:pt>
                <c:pt idx="15">
                  <c:v>0.28044899227392134</c:v>
                </c:pt>
                <c:pt idx="16">
                  <c:v>0.2884933501578304</c:v>
                </c:pt>
                <c:pt idx="17">
                  <c:v>0.29631940352113134</c:v>
                </c:pt>
                <c:pt idx="18">
                  <c:v>0.30394401576762392</c:v>
                </c:pt>
                <c:pt idx="19">
                  <c:v>0.31138198492973246</c:v>
                </c:pt>
                <c:pt idx="20">
                  <c:v>0.31864638136437495</c:v>
                </c:pt>
                <c:pt idx="21">
                  <c:v>0.32574881761019669</c:v>
                </c:pt>
                <c:pt idx="22">
                  <c:v>0.33269966635431381</c:v>
                </c:pt>
                <c:pt idx="23">
                  <c:v>0.33950823820653048</c:v>
                </c:pt>
                <c:pt idx="24">
                  <c:v>0.34618292798451628</c:v>
                </c:pt>
                <c:pt idx="25">
                  <c:v>0.35273133607005103</c:v>
                </c:pt>
              </c:numCache>
            </c:numRef>
          </c:xVal>
          <c:yVal>
            <c:numRef>
              <c:f>'2-SNR-Chan Cap vs Range'!$M$46:$M$71</c:f>
              <c:numCache>
                <c:formatCode>0.00</c:formatCode>
                <c:ptCount val="26"/>
                <c:pt idx="0">
                  <c:v>40.857638529216658</c:v>
                </c:pt>
                <c:pt idx="1">
                  <c:v>35.602351677396143</c:v>
                </c:pt>
                <c:pt idx="2">
                  <c:v>31.794411359164918</c:v>
                </c:pt>
                <c:pt idx="3">
                  <c:v>28.806367650641729</c:v>
                </c:pt>
                <c:pt idx="4">
                  <c:v>26.346953511267895</c:v>
                </c:pt>
                <c:pt idx="5">
                  <c:v>24.256943755250408</c:v>
                </c:pt>
                <c:pt idx="6">
                  <c:v>22.439723840817194</c:v>
                </c:pt>
                <c:pt idx="7">
                  <c:v>20.83223582848629</c:v>
                </c:pt>
                <c:pt idx="8">
                  <c:v>19.391038526797743</c:v>
                </c:pt>
                <c:pt idx="9">
                  <c:v>18.084929840218372</c:v>
                </c:pt>
                <c:pt idx="10">
                  <c:v>16.890741278801077</c:v>
                </c:pt>
                <c:pt idx="11">
                  <c:v>15.79079674633601</c:v>
                </c:pt>
                <c:pt idx="12">
                  <c:v>14.771302906566902</c:v>
                </c:pt>
                <c:pt idx="13">
                  <c:v>13.821289168498961</c:v>
                </c:pt>
                <c:pt idx="14">
                  <c:v>12.931886411481708</c:v>
                </c:pt>
                <c:pt idx="15">
                  <c:v>12.095822319325645</c:v>
                </c:pt>
                <c:pt idx="16">
                  <c:v>11.30705966595783</c:v>
                </c:pt>
                <c:pt idx="17">
                  <c:v>10.560531555975475</c:v>
                </c:pt>
                <c:pt idx="18">
                  <c:v>9.8519440148497264</c:v>
                </c:pt>
                <c:pt idx="19">
                  <c:v>9.1776263613768911</c:v>
                </c:pt>
                <c:pt idx="20">
                  <c:v>8.5344161222680963</c:v>
                </c:pt>
                <c:pt idx="21">
                  <c:v>7.9195693406782777</c:v>
                </c:pt>
                <c:pt idx="22">
                  <c:v>7.3306898380104863</c:v>
                </c:pt>
                <c:pt idx="23">
                  <c:v>6.7656728170896763</c:v>
                </c:pt>
                <c:pt idx="24">
                  <c:v>6.2226594531832937</c:v>
                </c:pt>
                <c:pt idx="25">
                  <c:v>5.7</c:v>
                </c:pt>
              </c:numCache>
            </c:numRef>
          </c:yVal>
          <c:smooth val="1"/>
        </c:ser>
        <c:ser>
          <c:idx val="1"/>
          <c:order val="1"/>
          <c:tx>
            <c:strRef>
              <c:f>'2-SNR-Chan Cap vs Range'!$G$44</c:f>
              <c:strCache>
                <c:ptCount val="1"/>
                <c:pt idx="0">
                  <c:v>Type B</c:v>
                </c:pt>
              </c:strCache>
            </c:strRef>
          </c:tx>
          <c:marker>
            <c:symbol val="none"/>
          </c:marker>
          <c:xVal>
            <c:numRef>
              <c:f>'2-SNR-Chan Cap vs Range'!$G$46:$G$71</c:f>
              <c:numCache>
                <c:formatCode>0.00</c:formatCode>
                <c:ptCount val="26"/>
                <c:pt idx="0">
                  <c:v>0.1</c:v>
                </c:pt>
                <c:pt idx="1">
                  <c:v>0.12075631002548436</c:v>
                </c:pt>
                <c:pt idx="2">
                  <c:v>0.13843472404690157</c:v>
                </c:pt>
                <c:pt idx="3">
                  <c:v>0.15409821294522749</c:v>
                </c:pt>
                <c:pt idx="4">
                  <c:v>0.1683102660085937</c:v>
                </c:pt>
                <c:pt idx="5">
                  <c:v>0.18141232608302682</c:v>
                </c:pt>
                <c:pt idx="6">
                  <c:v>0.19362984910861583</c:v>
                </c:pt>
                <c:pt idx="7">
                  <c:v>0.20512095182305543</c:v>
                </c:pt>
                <c:pt idx="8">
                  <c:v>0.21600160019723724</c:v>
                </c:pt>
                <c:pt idx="9">
                  <c:v>0.22635984117934438</c:v>
                </c:pt>
                <c:pt idx="10">
                  <c:v>0.23626439450266074</c:v>
                </c:pt>
                <c:pt idx="11">
                  <c:v>0.24577011722477529</c:v>
                </c:pt>
                <c:pt idx="12">
                  <c:v>0.25492162899928811</c:v>
                </c:pt>
                <c:pt idx="13">
                  <c:v>0.2637558024814271</c:v>
                </c:pt>
                <c:pt idx="14">
                  <c:v>0.27230352504804722</c:v>
                </c:pt>
                <c:pt idx="15">
                  <c:v>0.28059097662712423</c:v>
                </c:pt>
                <c:pt idx="16">
                  <c:v>0.28864057680016902</c:v>
                </c:pt>
                <c:pt idx="17">
                  <c:v>0.29647170014439012</c:v>
                </c:pt>
                <c:pt idx="18">
                  <c:v>0.30410122557707009</c:v>
                </c:pt>
                <c:pt idx="19">
                  <c:v>0.31154396448727256</c:v>
                </c:pt>
                <c:pt idx="20">
                  <c:v>0.31881299882441722</c:v>
                </c:pt>
                <c:pt idx="21">
                  <c:v>0.32591995126163842</c:v>
                </c:pt>
                <c:pt idx="22">
                  <c:v>0.33287520340415816</c:v>
                </c:pt>
                <c:pt idx="23">
                  <c:v>0.33968807375639576</c:v>
                </c:pt>
                <c:pt idx="24">
                  <c:v>0.34636696416272361</c:v>
                </c:pt>
                <c:pt idx="25">
                  <c:v>0.35291948129038198</c:v>
                </c:pt>
              </c:numCache>
            </c:numRef>
          </c:xVal>
          <c:yVal>
            <c:numRef>
              <c:f>'2-SNR-Chan Cap vs Range'!$H$46:$H$71</c:f>
              <c:numCache>
                <c:formatCode>0.00</c:formatCode>
                <c:ptCount val="26"/>
                <c:pt idx="0">
                  <c:v>40.736766178998764</c:v>
                </c:pt>
                <c:pt idx="1">
                  <c:v>35.496701580093671</c:v>
                </c:pt>
                <c:pt idx="2">
                  <c:v>31.700816566537075</c:v>
                </c:pt>
                <c:pt idx="3">
                  <c:v>28.722682854331381</c:v>
                </c:pt>
                <c:pt idx="4">
                  <c:v>26.271663151033337</c:v>
                </c:pt>
                <c:pt idx="5">
                  <c:v>24.188927689962647</c:v>
                </c:pt>
                <c:pt idx="6">
                  <c:v>22.378122797731187</c:v>
                </c:pt>
                <c:pt idx="7">
                  <c:v>20.776370679734352</c:v>
                </c:pt>
                <c:pt idx="8">
                  <c:v>19.340359412849701</c:v>
                </c:pt>
                <c:pt idx="9">
                  <c:v>18.038982664586868</c:v>
                </c:pt>
                <c:pt idx="10">
                  <c:v>16.849144798704767</c:v>
                </c:pt>
                <c:pt idx="11">
                  <c:v>15.753226400611435</c:v>
                </c:pt>
                <c:pt idx="12">
                  <c:v>14.73747908430343</c:v>
                </c:pt>
                <c:pt idx="13">
                  <c:v>13.790968497225215</c:v>
                </c:pt>
                <c:pt idx="14">
                  <c:v>12.904855154812735</c:v>
                </c:pt>
                <c:pt idx="15">
                  <c:v>12.071891283509483</c:v>
                </c:pt>
                <c:pt idx="16">
                  <c:v>11.286060208406603</c:v>
                </c:pt>
                <c:pt idx="17">
                  <c:v>10.542312413551549</c:v>
                </c:pt>
                <c:pt idx="18">
                  <c:v>9.8363687520435938</c:v>
                </c:pt>
                <c:pt idx="19">
                  <c:v>9.1645712941832844</c:v>
                </c:pt>
                <c:pt idx="20">
                  <c:v>8.523768611975342</c:v>
                </c:pt>
                <c:pt idx="21">
                  <c:v>7.9112263787810093</c:v>
                </c:pt>
                <c:pt idx="22">
                  <c:v>7.3245568627510158</c:v>
                </c:pt>
                <c:pt idx="23">
                  <c:v>6.7616627161372813</c:v>
                </c:pt>
                <c:pt idx="24">
                  <c:v>6.220691717267834</c:v>
                </c:pt>
                <c:pt idx="25">
                  <c:v>5.7</c:v>
                </c:pt>
              </c:numCache>
            </c:numRef>
          </c:yVal>
          <c:smooth val="1"/>
        </c:ser>
        <c:ser>
          <c:idx val="0"/>
          <c:order val="2"/>
          <c:tx>
            <c:strRef>
              <c:f>'2-SNR-Chan Cap vs Range'!$B$44</c:f>
              <c:strCache>
                <c:ptCount val="1"/>
                <c:pt idx="0">
                  <c:v>Type A</c:v>
                </c:pt>
              </c:strCache>
            </c:strRef>
          </c:tx>
          <c:marker>
            <c:symbol val="none"/>
          </c:marker>
          <c:xVal>
            <c:numRef>
              <c:f>'2-SNR-Chan Cap vs Range'!$B$46:$B$71</c:f>
              <c:numCache>
                <c:formatCode>0.00</c:formatCode>
                <c:ptCount val="26"/>
                <c:pt idx="0">
                  <c:v>0.1</c:v>
                </c:pt>
                <c:pt idx="1">
                  <c:v>0.11805912000154632</c:v>
                </c:pt>
                <c:pt idx="2">
                  <c:v>0.13370082883467488</c:v>
                </c:pt>
                <c:pt idx="3">
                  <c:v>0.14769518423638106</c:v>
                </c:pt>
                <c:pt idx="4">
                  <c:v>0.16047374633303124</c:v>
                </c:pt>
                <c:pt idx="5">
                  <c:v>0.17230722294116857</c:v>
                </c:pt>
                <c:pt idx="6">
                  <c:v>0.18337866531643501</c:v>
                </c:pt>
                <c:pt idx="7">
                  <c:v>0.19381870577623977</c:v>
                </c:pt>
                <c:pt idx="8">
                  <c:v>0.20372443771996551</c:v>
                </c:pt>
                <c:pt idx="9">
                  <c:v>0.2131703598999064</c:v>
                </c:pt>
                <c:pt idx="10">
                  <c:v>0.22221511684715586</c:v>
                </c:pt>
                <c:pt idx="11">
                  <c:v>0.23090585521145765</c:v>
                </c:pt>
                <c:pt idx="12">
                  <c:v>0.23928115217558227</c:v>
                </c:pt>
                <c:pt idx="13">
                  <c:v>0.24737304946580918</c:v>
                </c:pt>
                <c:pt idx="14">
                  <c:v>0.25520850577038606</c:v>
                </c:pt>
                <c:pt idx="15">
                  <c:v>0.26281045875895559</c:v>
                </c:pt>
                <c:pt idx="16">
                  <c:v>0.27019861777705712</c:v>
                </c:pt>
                <c:pt idx="17">
                  <c:v>0.27739006626801133</c:v>
                </c:pt>
                <c:pt idx="18">
                  <c:v>0.28439972693325716</c:v>
                </c:pt>
                <c:pt idx="19">
                  <c:v>0.29124072602445344</c:v>
                </c:pt>
                <c:pt idx="20">
                  <c:v>0.29792468227857566</c:v>
                </c:pt>
                <c:pt idx="21">
                  <c:v>0.30446193871538324</c:v>
                </c:pt>
                <c:pt idx="22">
                  <c:v>0.31086175052886339</c:v>
                </c:pt>
                <c:pt idx="23">
                  <c:v>0.31713243882865216</c:v>
                </c:pt>
                <c:pt idx="24">
                  <c:v>0.32328151752450729</c:v>
                </c:pt>
                <c:pt idx="25">
                  <c:v>0.32931579887470902</c:v>
                </c:pt>
              </c:numCache>
            </c:numRef>
          </c:xVal>
          <c:yVal>
            <c:numRef>
              <c:f>'2-SNR-Chan Cap vs Range'!$C$46:$C$71</c:f>
              <c:numCache>
                <c:formatCode>0.00</c:formatCode>
                <c:ptCount val="26"/>
                <c:pt idx="0">
                  <c:v>38.555457653671908</c:v>
                </c:pt>
                <c:pt idx="1">
                  <c:v>33.978939243089641</c:v>
                </c:pt>
                <c:pt idx="2">
                  <c:v>30.549095685541655</c:v>
                </c:pt>
                <c:pt idx="3">
                  <c:v>27.804929546245827</c:v>
                </c:pt>
                <c:pt idx="4">
                  <c:v>25.517439290897919</c:v>
                </c:pt>
                <c:pt idx="5">
                  <c:v>23.5560940698271</c:v>
                </c:pt>
                <c:pt idx="6">
                  <c:v>21.839392098701378</c:v>
                </c:pt>
                <c:pt idx="7">
                  <c:v>20.313016278909984</c:v>
                </c:pt>
                <c:pt idx="8">
                  <c:v>18.938945115062065</c:v>
                </c:pt>
                <c:pt idx="9">
                  <c:v>17.689522853972605</c:v>
                </c:pt>
                <c:pt idx="10">
                  <c:v>16.544003407044372</c:v>
                </c:pt>
                <c:pt idx="11">
                  <c:v>15.486424474750972</c:v>
                </c:pt>
                <c:pt idx="12">
                  <c:v>14.504241173286818</c:v>
                </c:pt>
                <c:pt idx="13">
                  <c:v>13.58741515417185</c:v>
                </c:pt>
                <c:pt idx="14">
                  <c:v>12.727788339690488</c:v>
                </c:pt>
                <c:pt idx="15">
                  <c:v>11.918640804270662</c:v>
                </c:pt>
                <c:pt idx="16">
                  <c:v>11.154371419783811</c:v>
                </c:pt>
                <c:pt idx="17">
                  <c:v>10.430262502345487</c:v>
                </c:pt>
                <c:pt idx="18">
                  <c:v>9.7423032661318967</c:v>
                </c:pt>
                <c:pt idx="19">
                  <c:v>9.0870552875668658</c:v>
                </c:pt>
                <c:pt idx="20">
                  <c:v>8.4615485269052897</c:v>
                </c:pt>
                <c:pt idx="21">
                  <c:v>7.8631999391908831</c:v>
                </c:pt>
                <c:pt idx="22">
                  <c:v>7.2897490299358845</c:v>
                </c:pt>
                <c:pt idx="23">
                  <c:v>6.7392062908589132</c:v>
                </c:pt>
                <c:pt idx="24">
                  <c:v>6.2098115449484146</c:v>
                </c:pt>
                <c:pt idx="25">
                  <c:v>5.7</c:v>
                </c:pt>
              </c:numCache>
            </c:numRef>
          </c:yVal>
          <c:smooth val="1"/>
        </c:ser>
        <c:axId val="121032064"/>
        <c:axId val="121042432"/>
      </c:scatterChart>
      <c:valAx>
        <c:axId val="121032064"/>
        <c:scaling>
          <c:orientation val="minMax"/>
        </c:scaling>
        <c:axPos val="b"/>
        <c:majorGridlines/>
        <c:title>
          <c:tx>
            <c:rich>
              <a:bodyPr/>
              <a:lstStyle/>
              <a:p>
                <a:pPr>
                  <a:defRPr/>
                </a:pPr>
                <a:r>
                  <a:rPr lang="en-US"/>
                  <a:t>Path Length in km</a:t>
                </a:r>
              </a:p>
            </c:rich>
          </c:tx>
        </c:title>
        <c:numFmt formatCode="#,##0.0" sourceLinked="0"/>
        <c:tickLblPos val="nextTo"/>
        <c:crossAx val="121042432"/>
        <c:crosses val="autoZero"/>
        <c:crossBetween val="midCat"/>
      </c:valAx>
      <c:valAx>
        <c:axId val="121042432"/>
        <c:scaling>
          <c:orientation val="minMax"/>
          <c:max val="25"/>
        </c:scaling>
        <c:axPos val="l"/>
        <c:majorGridlines/>
        <c:title>
          <c:tx>
            <c:rich>
              <a:bodyPr rot="-5400000" vert="horz"/>
              <a:lstStyle/>
              <a:p>
                <a:pPr>
                  <a:defRPr/>
                </a:pPr>
                <a:r>
                  <a:rPr lang="en-US"/>
                  <a:t>Relative SnR in dB</a:t>
                </a:r>
              </a:p>
            </c:rich>
          </c:tx>
        </c:title>
        <c:numFmt formatCode="0" sourceLinked="0"/>
        <c:minorTickMark val="cross"/>
        <c:tickLblPos val="nextTo"/>
        <c:crossAx val="121032064"/>
        <c:crosses val="autoZero"/>
        <c:crossBetween val="midCat"/>
      </c:valAx>
    </c:plotArea>
    <c:legend>
      <c:legendPos val="r"/>
    </c:legend>
    <c:plotVisOnly val="1"/>
  </c:chart>
  <c:printSettings>
    <c:headerFooter/>
    <c:pageMargins b="0.75000000000001321" l="0.70000000000000062" r="0.70000000000000062" t="0.750000000000013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SNR vs Path Length</a:t>
            </a:r>
            <a:br>
              <a:rPr lang="en-US"/>
            </a:br>
            <a:r>
              <a:rPr lang="en-US" sz="1400"/>
              <a:t>WINNER II </a:t>
            </a:r>
            <a:r>
              <a:rPr lang="en-US" sz="1400" baseline="0"/>
              <a:t>Path Loss Model</a:t>
            </a:r>
            <a:endParaRPr lang="en-US"/>
          </a:p>
        </c:rich>
      </c:tx>
    </c:title>
    <c:plotArea>
      <c:layout/>
      <c:scatterChart>
        <c:scatterStyle val="smoothMarker"/>
        <c:ser>
          <c:idx val="0"/>
          <c:order val="0"/>
          <c:tx>
            <c:strRef>
              <c:f>'2-SNR-Chan Cap vs Range'!$B$134</c:f>
              <c:strCache>
                <c:ptCount val="1"/>
                <c:pt idx="0">
                  <c:v>Large City Urban</c:v>
                </c:pt>
              </c:strCache>
            </c:strRef>
          </c:tx>
          <c:marker>
            <c:symbol val="none"/>
          </c:marker>
          <c:xVal>
            <c:strRef>
              <c:f>'2-SNR-Chan Cap vs Range'!$B$136:$B$161</c:f>
              <c:strCache>
                <c:ptCount val="26"/>
                <c:pt idx="0">
                  <c:v>0.05</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n/a</c:v>
                </c:pt>
              </c:strCache>
            </c:strRef>
          </c:xVal>
          <c:yVal>
            <c:numRef>
              <c:f>'2-SNR-Chan Cap vs Range'!$C$136:$C$161</c:f>
              <c:numCache>
                <c:formatCode>0.00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5.7</c:v>
                </c:pt>
              </c:numCache>
            </c:numRef>
          </c:yVal>
          <c:smooth val="1"/>
        </c:ser>
        <c:ser>
          <c:idx val="1"/>
          <c:order val="1"/>
          <c:tx>
            <c:strRef>
              <c:f>'2-SNR-Chan Cap vs Range'!$G$134</c:f>
              <c:strCache>
                <c:ptCount val="1"/>
                <c:pt idx="0">
                  <c:v>Suburban</c:v>
                </c:pt>
              </c:strCache>
            </c:strRef>
          </c:tx>
          <c:marker>
            <c:symbol val="none"/>
          </c:marker>
          <c:xVal>
            <c:strRef>
              <c:f>'2-SNR-Chan Cap vs Range'!$G$136:$G$161</c:f>
              <c:strCache>
                <c:ptCount val="26"/>
                <c:pt idx="0">
                  <c:v>0.05</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n/a</c:v>
                </c:pt>
              </c:strCache>
            </c:strRef>
          </c:xVal>
          <c:yVal>
            <c:numRef>
              <c:f>'2-SNR-Chan Cap vs Range'!$H$136:$H$161</c:f>
              <c:numCache>
                <c:formatCode>0.00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5.7</c:v>
                </c:pt>
              </c:numCache>
            </c:numRef>
          </c:yVal>
          <c:smooth val="1"/>
        </c:ser>
        <c:ser>
          <c:idx val="2"/>
          <c:order val="2"/>
          <c:tx>
            <c:strRef>
              <c:f>'2-SNR-Chan Cap vs Range'!$L$134</c:f>
              <c:strCache>
                <c:ptCount val="1"/>
                <c:pt idx="0">
                  <c:v>Rural Open</c:v>
                </c:pt>
              </c:strCache>
            </c:strRef>
          </c:tx>
          <c:marker>
            <c:symbol val="none"/>
          </c:marker>
          <c:xVal>
            <c:strRef>
              <c:f>'2-SNR-Chan Cap vs Range'!$L$136:$L$161</c:f>
              <c:strCache>
                <c:ptCount val="26"/>
                <c:pt idx="0">
                  <c:v>0.05</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n/a</c:v>
                </c:pt>
              </c:strCache>
            </c:strRef>
          </c:xVal>
          <c:yVal>
            <c:numRef>
              <c:f>'2-SNR-Chan Cap vs Range'!$M$136:$M$161</c:f>
              <c:numCache>
                <c:formatCode>0.00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5.7</c:v>
                </c:pt>
              </c:numCache>
            </c:numRef>
          </c:yVal>
          <c:smooth val="1"/>
        </c:ser>
        <c:axId val="123282944"/>
        <c:axId val="123284864"/>
      </c:scatterChart>
      <c:valAx>
        <c:axId val="123282944"/>
        <c:scaling>
          <c:orientation val="minMax"/>
          <c:min val="0"/>
        </c:scaling>
        <c:axPos val="b"/>
        <c:majorGridlines/>
        <c:title>
          <c:tx>
            <c:rich>
              <a:bodyPr/>
              <a:lstStyle/>
              <a:p>
                <a:pPr>
                  <a:defRPr/>
                </a:pPr>
                <a:r>
                  <a:rPr lang="en-US"/>
                  <a:t>Path Length in km</a:t>
                </a:r>
              </a:p>
            </c:rich>
          </c:tx>
        </c:title>
        <c:numFmt formatCode="#,##0.0" sourceLinked="0"/>
        <c:tickLblPos val="nextTo"/>
        <c:crossAx val="123284864"/>
        <c:crosses val="autoZero"/>
        <c:crossBetween val="midCat"/>
        <c:minorUnit val="0.5"/>
      </c:valAx>
      <c:valAx>
        <c:axId val="123284864"/>
        <c:scaling>
          <c:orientation val="minMax"/>
          <c:max val="25"/>
        </c:scaling>
        <c:axPos val="l"/>
        <c:majorGridlines/>
        <c:title>
          <c:tx>
            <c:rich>
              <a:bodyPr rot="-5400000" vert="horz"/>
              <a:lstStyle/>
              <a:p>
                <a:pPr>
                  <a:defRPr/>
                </a:pPr>
                <a:r>
                  <a:rPr lang="en-US"/>
                  <a:t>Relative SnR in dB</a:t>
                </a:r>
              </a:p>
            </c:rich>
          </c:tx>
        </c:title>
        <c:numFmt formatCode="0" sourceLinked="0"/>
        <c:minorTickMark val="cross"/>
        <c:tickLblPos val="nextTo"/>
        <c:crossAx val="123282944"/>
        <c:crosses val="autoZero"/>
        <c:crossBetween val="midCat"/>
      </c:valAx>
    </c:plotArea>
    <c:legend>
      <c:legendPos val="r"/>
    </c:legend>
    <c:plotVisOnly val="1"/>
  </c:chart>
  <c:printSettings>
    <c:headerFooter/>
    <c:pageMargins b="0.75000000000001388" l="0.70000000000000062" r="0.70000000000000062" t="0.750000000000013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UL Channel Capacity</a:t>
            </a:r>
          </a:p>
          <a:p>
            <a:pPr>
              <a:defRPr/>
            </a:pPr>
            <a:r>
              <a:rPr lang="en-US" sz="1400"/>
              <a:t>WINNER II Path Loss Model</a:t>
            </a:r>
          </a:p>
        </c:rich>
      </c:tx>
    </c:title>
    <c:plotArea>
      <c:layout/>
      <c:scatterChart>
        <c:scatterStyle val="smoothMarker"/>
        <c:ser>
          <c:idx val="0"/>
          <c:order val="0"/>
          <c:tx>
            <c:strRef>
              <c:f>'2-SNR-Chan Cap vs Range'!$B$134</c:f>
              <c:strCache>
                <c:ptCount val="1"/>
                <c:pt idx="0">
                  <c:v>Large City Urban</c:v>
                </c:pt>
              </c:strCache>
            </c:strRef>
          </c:tx>
          <c:marker>
            <c:symbol val="none"/>
          </c:marker>
          <c:xVal>
            <c:strRef>
              <c:f>'2-SNR-Chan Cap vs Range'!$B$137:$B$161</c:f>
              <c:strCache>
                <c:ptCount val="25"/>
                <c:pt idx="0">
                  <c:v>#VALUE!</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n/a</c:v>
                </c:pt>
              </c:strCache>
            </c:strRef>
          </c:xVal>
          <c:yVal>
            <c:numRef>
              <c:f>'2-SNR-Chan Cap vs Range'!$E$137:$E$161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yVal>
          <c:smooth val="1"/>
        </c:ser>
        <c:ser>
          <c:idx val="1"/>
          <c:order val="1"/>
          <c:tx>
            <c:strRef>
              <c:f>'2-SNR-Chan Cap vs Range'!$G$134</c:f>
              <c:strCache>
                <c:ptCount val="1"/>
                <c:pt idx="0">
                  <c:v>Suburban</c:v>
                </c:pt>
              </c:strCache>
            </c:strRef>
          </c:tx>
          <c:marker>
            <c:symbol val="none"/>
          </c:marker>
          <c:xVal>
            <c:strRef>
              <c:f>'2-SNR-Chan Cap vs Range'!$G$137:$G$161</c:f>
              <c:strCache>
                <c:ptCount val="25"/>
                <c:pt idx="0">
                  <c:v>#VALUE!</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n/a</c:v>
                </c:pt>
              </c:strCache>
            </c:strRef>
          </c:xVal>
          <c:yVal>
            <c:numRef>
              <c:f>'2-SNR-Chan Cap vs Range'!$J$137:$J$161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yVal>
          <c:smooth val="1"/>
        </c:ser>
        <c:ser>
          <c:idx val="2"/>
          <c:order val="2"/>
          <c:tx>
            <c:strRef>
              <c:f>'2-SNR-Chan Cap vs Range'!$L$134</c:f>
              <c:strCache>
                <c:ptCount val="1"/>
                <c:pt idx="0">
                  <c:v>Rural Open</c:v>
                </c:pt>
              </c:strCache>
            </c:strRef>
          </c:tx>
          <c:marker>
            <c:symbol val="none"/>
          </c:marker>
          <c:xVal>
            <c:strRef>
              <c:f>'2-SNR-Chan Cap vs Range'!$L$137:$L$161</c:f>
              <c:strCache>
                <c:ptCount val="25"/>
                <c:pt idx="0">
                  <c:v>#VALUE!</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n/a</c:v>
                </c:pt>
              </c:strCache>
            </c:strRef>
          </c:xVal>
          <c:yVal>
            <c:numRef>
              <c:f>'2-SNR-Chan Cap vs Range'!$O$137:$O$161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yVal>
          <c:smooth val="1"/>
        </c:ser>
        <c:axId val="123336192"/>
        <c:axId val="123338112"/>
      </c:scatterChart>
      <c:valAx>
        <c:axId val="123336192"/>
        <c:scaling>
          <c:orientation val="minMax"/>
          <c:min val="0"/>
        </c:scaling>
        <c:axPos val="b"/>
        <c:majorGridlines/>
        <c:title>
          <c:tx>
            <c:rich>
              <a:bodyPr/>
              <a:lstStyle/>
              <a:p>
                <a:pPr>
                  <a:defRPr/>
                </a:pPr>
                <a:r>
                  <a:rPr lang="en-US"/>
                  <a:t>Path Length in km</a:t>
                </a:r>
              </a:p>
            </c:rich>
          </c:tx>
        </c:title>
        <c:numFmt formatCode="0.0" sourceLinked="0"/>
        <c:tickLblPos val="nextTo"/>
        <c:crossAx val="123338112"/>
        <c:crosses val="autoZero"/>
        <c:crossBetween val="midCat"/>
        <c:minorUnit val="0.5"/>
      </c:valAx>
      <c:valAx>
        <c:axId val="123338112"/>
        <c:scaling>
          <c:orientation val="minMax"/>
        </c:scaling>
        <c:axPos val="l"/>
        <c:majorGridlines/>
        <c:title>
          <c:tx>
            <c:rich>
              <a:bodyPr rot="-5400000" vert="horz"/>
              <a:lstStyle/>
              <a:p>
                <a:pPr>
                  <a:defRPr/>
                </a:pPr>
                <a:r>
                  <a:rPr lang="en-US"/>
                  <a:t>Channel/Sector Capacity mbps</a:t>
                </a:r>
              </a:p>
            </c:rich>
          </c:tx>
        </c:title>
        <c:numFmt formatCode="0.0" sourceLinked="0"/>
        <c:tickLblPos val="nextTo"/>
        <c:crossAx val="123336192"/>
        <c:crosses val="autoZero"/>
        <c:crossBetween val="midCat"/>
      </c:valAx>
    </c:plotArea>
    <c:legend>
      <c:legendPos val="r"/>
    </c:legend>
    <c:plotVisOnly val="1"/>
  </c:chart>
  <c:printSettings>
    <c:headerFooter/>
    <c:pageMargins b="0.75000000000001366" l="0.70000000000000062" r="0.70000000000000062" t="0.7500000000000136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SNR vs Path Length</a:t>
            </a:r>
            <a:br>
              <a:rPr lang="en-US"/>
            </a:br>
            <a:r>
              <a:rPr lang="en-US" sz="1400"/>
              <a:t>ITU-R M.2135-1 Urban Micro-Cell</a:t>
            </a:r>
            <a:endParaRPr lang="en-US"/>
          </a:p>
        </c:rich>
      </c:tx>
    </c:title>
    <c:plotArea>
      <c:layout/>
      <c:scatterChart>
        <c:scatterStyle val="smoothMarker"/>
        <c:ser>
          <c:idx val="2"/>
          <c:order val="0"/>
          <c:tx>
            <c:strRef>
              <c:f>'2-SNR-Chan Cap vs Range'!$B$194</c:f>
              <c:strCache>
                <c:ptCount val="1"/>
                <c:pt idx="0">
                  <c:v>Large City Urban</c:v>
                </c:pt>
              </c:strCache>
            </c:strRef>
          </c:tx>
          <c:marker>
            <c:symbol val="none"/>
          </c:marker>
          <c:xVal>
            <c:strRef>
              <c:f>'2-SNR-Chan Cap vs Range'!$B$196:$B$221</c:f>
              <c:strCache>
                <c:ptCount val="26"/>
                <c:pt idx="0">
                  <c:v>0.05</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n/a</c:v>
                </c:pt>
              </c:strCache>
            </c:strRef>
          </c:xVal>
          <c:yVal>
            <c:numRef>
              <c:f>'2-SNR-Chan Cap vs Range'!$C$196:$C$221</c:f>
              <c:numCache>
                <c:formatCode>0.00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5.7</c:v>
                </c:pt>
              </c:numCache>
            </c:numRef>
          </c:yVal>
          <c:smooth val="1"/>
        </c:ser>
        <c:axId val="123239424"/>
        <c:axId val="123266176"/>
      </c:scatterChart>
      <c:valAx>
        <c:axId val="123239424"/>
        <c:scaling>
          <c:orientation val="minMax"/>
        </c:scaling>
        <c:axPos val="b"/>
        <c:majorGridlines/>
        <c:title>
          <c:tx>
            <c:rich>
              <a:bodyPr/>
              <a:lstStyle/>
              <a:p>
                <a:pPr>
                  <a:defRPr/>
                </a:pPr>
                <a:r>
                  <a:rPr lang="en-US"/>
                  <a:t>Path Length in km</a:t>
                </a:r>
              </a:p>
            </c:rich>
          </c:tx>
        </c:title>
        <c:numFmt formatCode="#,##0.0" sourceLinked="0"/>
        <c:tickLblPos val="nextTo"/>
        <c:crossAx val="123266176"/>
        <c:crosses val="autoZero"/>
        <c:crossBetween val="midCat"/>
      </c:valAx>
      <c:valAx>
        <c:axId val="123266176"/>
        <c:scaling>
          <c:orientation val="minMax"/>
          <c:max val="25"/>
        </c:scaling>
        <c:axPos val="l"/>
        <c:majorGridlines/>
        <c:title>
          <c:tx>
            <c:rich>
              <a:bodyPr rot="-5400000" vert="horz"/>
              <a:lstStyle/>
              <a:p>
                <a:pPr>
                  <a:defRPr/>
                </a:pPr>
                <a:r>
                  <a:rPr lang="en-US"/>
                  <a:t>Relative SnR in dB</a:t>
                </a:r>
              </a:p>
            </c:rich>
          </c:tx>
        </c:title>
        <c:numFmt formatCode="0" sourceLinked="0"/>
        <c:minorTickMark val="cross"/>
        <c:tickLblPos val="nextTo"/>
        <c:crossAx val="123239424"/>
        <c:crosses val="autoZero"/>
        <c:crossBetween val="midCat"/>
      </c:valAx>
    </c:plotArea>
    <c:legend>
      <c:legendPos val="r"/>
    </c:legend>
    <c:plotVisOnly val="1"/>
  </c:chart>
  <c:printSettings>
    <c:headerFooter/>
    <c:pageMargins b="0.75000000000001366" l="0.70000000000000062" r="0.70000000000000062" t="0.75000000000001366"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UL Channel Capacity</a:t>
            </a:r>
          </a:p>
          <a:p>
            <a:pPr>
              <a:defRPr/>
            </a:pPr>
            <a:r>
              <a:rPr lang="en-US" sz="1400"/>
              <a:t>ITU-R M.2135-1 Urban</a:t>
            </a:r>
            <a:r>
              <a:rPr lang="en-US" sz="1400" baseline="0"/>
              <a:t> Micro-Cel</a:t>
            </a:r>
            <a:r>
              <a:rPr lang="en-US" sz="1400"/>
              <a:t>l</a:t>
            </a:r>
          </a:p>
        </c:rich>
      </c:tx>
    </c:title>
    <c:plotArea>
      <c:layout/>
      <c:scatterChart>
        <c:scatterStyle val="lineMarker"/>
        <c:ser>
          <c:idx val="0"/>
          <c:order val="0"/>
          <c:tx>
            <c:strRef>
              <c:f>'2-SNR-Chan Cap vs Range'!$B$194</c:f>
              <c:strCache>
                <c:ptCount val="1"/>
                <c:pt idx="0">
                  <c:v>Large City Urban</c:v>
                </c:pt>
              </c:strCache>
            </c:strRef>
          </c:tx>
          <c:marker>
            <c:symbol val="none"/>
          </c:marker>
          <c:xVal>
            <c:strRef>
              <c:f>'2-SNR-Chan Cap vs Range'!$B$196:$B$221</c:f>
              <c:strCache>
                <c:ptCount val="26"/>
                <c:pt idx="0">
                  <c:v>0.05</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n/a</c:v>
                </c:pt>
              </c:strCache>
            </c:strRef>
          </c:xVal>
          <c:yVal>
            <c:numRef>
              <c:f>'2-SNR-Chan Cap vs Range'!$E$196:$E$221</c:f>
              <c:numCache>
                <c:formatCode>0.00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yVal>
        </c:ser>
        <c:axId val="123344000"/>
        <c:axId val="123345920"/>
      </c:scatterChart>
      <c:valAx>
        <c:axId val="123344000"/>
        <c:scaling>
          <c:orientation val="minMax"/>
        </c:scaling>
        <c:axPos val="b"/>
        <c:title>
          <c:tx>
            <c:rich>
              <a:bodyPr/>
              <a:lstStyle/>
              <a:p>
                <a:pPr>
                  <a:defRPr/>
                </a:pPr>
                <a:r>
                  <a:rPr lang="en-US"/>
                  <a:t>Path Length in km</a:t>
                </a:r>
              </a:p>
            </c:rich>
          </c:tx>
        </c:title>
        <c:numFmt formatCode="0.0" sourceLinked="0"/>
        <c:tickLblPos val="nextTo"/>
        <c:crossAx val="123345920"/>
        <c:crosses val="autoZero"/>
        <c:crossBetween val="midCat"/>
      </c:valAx>
      <c:valAx>
        <c:axId val="123345920"/>
        <c:scaling>
          <c:orientation val="minMax"/>
        </c:scaling>
        <c:axPos val="l"/>
        <c:majorGridlines/>
        <c:title>
          <c:tx>
            <c:rich>
              <a:bodyPr rot="-5400000" vert="horz"/>
              <a:lstStyle/>
              <a:p>
                <a:pPr>
                  <a:defRPr/>
                </a:pPr>
                <a:r>
                  <a:rPr lang="en-US"/>
                  <a:t>Channel/Sector Capacity mbps</a:t>
                </a:r>
              </a:p>
            </c:rich>
          </c:tx>
        </c:title>
        <c:numFmt formatCode="0.0" sourceLinked="0"/>
        <c:tickLblPos val="nextTo"/>
        <c:crossAx val="123344000"/>
        <c:crosses val="autoZero"/>
        <c:crossBetween val="midCat"/>
      </c:valAx>
    </c:plotArea>
    <c:legend>
      <c:legendPos val="r"/>
    </c:legend>
    <c:plotVisOnly val="1"/>
  </c:chart>
  <c:printSettings>
    <c:headerFooter/>
    <c:pageMargins b="0.75000000000001343" l="0.70000000000000062" r="0.70000000000000062" t="0.75000000000001343"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SNR vs Path Length</a:t>
            </a:r>
            <a:br>
              <a:rPr lang="en-US"/>
            </a:br>
            <a:r>
              <a:rPr lang="en-US" sz="1400"/>
              <a:t>Erceg-SUI Modified Path Loss Model</a:t>
            </a:r>
            <a:endParaRPr lang="en-US"/>
          </a:p>
        </c:rich>
      </c:tx>
    </c:title>
    <c:plotArea>
      <c:layout/>
      <c:scatterChart>
        <c:scatterStyle val="smoothMarker"/>
        <c:ser>
          <c:idx val="2"/>
          <c:order val="0"/>
          <c:tx>
            <c:strRef>
              <c:f>'3-SNR-Chan SE vs Range'!$N$44</c:f>
              <c:strCache>
                <c:ptCount val="1"/>
                <c:pt idx="0">
                  <c:v>Type C</c:v>
                </c:pt>
              </c:strCache>
            </c:strRef>
          </c:tx>
          <c:marker>
            <c:symbol val="none"/>
          </c:marker>
          <c:xVal>
            <c:numRef>
              <c:f>'3-SNR-Chan SE vs Range'!$N$46:$N$71</c:f>
              <c:numCache>
                <c:formatCode>0.00</c:formatCode>
                <c:ptCount val="26"/>
                <c:pt idx="0">
                  <c:v>0.35273133607005103</c:v>
                </c:pt>
                <c:pt idx="1">
                  <c:v>0.34618292798451622</c:v>
                </c:pt>
                <c:pt idx="2">
                  <c:v>0.33950823820653042</c:v>
                </c:pt>
                <c:pt idx="3">
                  <c:v>0.33269966635431369</c:v>
                </c:pt>
                <c:pt idx="4">
                  <c:v>0.32574881761019658</c:v>
                </c:pt>
                <c:pt idx="5">
                  <c:v>0.31864638136437484</c:v>
                </c:pt>
                <c:pt idx="6">
                  <c:v>0.31138198492973235</c:v>
                </c:pt>
                <c:pt idx="7">
                  <c:v>0.30394401576762375</c:v>
                </c:pt>
                <c:pt idx="8">
                  <c:v>0.29631940352113123</c:v>
                </c:pt>
                <c:pt idx="9">
                  <c:v>0.28849335015783029</c:v>
                </c:pt>
                <c:pt idx="10">
                  <c:v>0.28044899227392123</c:v>
                </c:pt>
                <c:pt idx="11">
                  <c:v>0.27216697347332097</c:v>
                </c:pt>
                <c:pt idx="12">
                  <c:v>0.26362489569802938</c:v>
                </c:pt>
                <c:pt idx="13">
                  <c:v>0.25479660479285499</c:v>
                </c:pt>
                <c:pt idx="14">
                  <c:v>0.24565124464601396</c:v>
                </c:pt>
                <c:pt idx="15">
                  <c:v>0.23615198110180077</c:v>
                </c:pt>
                <c:pt idx="16">
                  <c:v>0.22625424274579856</c:v>
                </c:pt>
                <c:pt idx="17">
                  <c:v>0.21590323421070887</c:v>
                </c:pt>
                <c:pt idx="18">
                  <c:v>0.20503031659931092</c:v>
                </c:pt>
                <c:pt idx="19">
                  <c:v>0.1935475520562922</c:v>
                </c:pt>
                <c:pt idx="20">
                  <c:v>0.18133912729786864</c:v>
                </c:pt>
                <c:pt idx="21">
                  <c:v>0.16824714937056756</c:v>
                </c:pt>
                <c:pt idx="22">
                  <c:v>0.15404651068262321</c:v>
                </c:pt>
                <c:pt idx="23">
                  <c:v>0.13839635701730379</c:v>
                </c:pt>
                <c:pt idx="24">
                  <c:v>0.12073431913847232</c:v>
                </c:pt>
                <c:pt idx="25">
                  <c:v>0.1</c:v>
                </c:pt>
              </c:numCache>
            </c:numRef>
          </c:xVal>
          <c:yVal>
            <c:numRef>
              <c:f>'3-SNR-Chan SE vs Range'!$O$46:$O$71</c:f>
              <c:numCache>
                <c:formatCode>0.00</c:formatCode>
                <c:ptCount val="26"/>
                <c:pt idx="0">
                  <c:v>5.7</c:v>
                </c:pt>
                <c:pt idx="1">
                  <c:v>6.2226594531832999</c:v>
                </c:pt>
                <c:pt idx="2">
                  <c:v>6.7656728170896763</c:v>
                </c:pt>
                <c:pt idx="3">
                  <c:v>7.3306898380104979</c:v>
                </c:pt>
                <c:pt idx="4">
                  <c:v>7.9195693406782901</c:v>
                </c:pt>
                <c:pt idx="5">
                  <c:v>8.5344161222681088</c:v>
                </c:pt>
                <c:pt idx="6">
                  <c:v>9.1776263613769018</c:v>
                </c:pt>
                <c:pt idx="7">
                  <c:v>9.8519440148497424</c:v>
                </c:pt>
                <c:pt idx="8">
                  <c:v>10.560531555975484</c:v>
                </c:pt>
                <c:pt idx="9">
                  <c:v>11.307059665957844</c:v>
                </c:pt>
                <c:pt idx="10">
                  <c:v>12.095822319325656</c:v>
                </c:pt>
                <c:pt idx="11">
                  <c:v>12.931886411481722</c:v>
                </c:pt>
                <c:pt idx="12">
                  <c:v>13.821289168498975</c:v>
                </c:pt>
                <c:pt idx="13">
                  <c:v>14.771302906566909</c:v>
                </c:pt>
                <c:pt idx="14">
                  <c:v>15.790796746336021</c:v>
                </c:pt>
                <c:pt idx="15">
                  <c:v>16.890741278801084</c:v>
                </c:pt>
                <c:pt idx="16">
                  <c:v>18.084929840218379</c:v>
                </c:pt>
                <c:pt idx="17">
                  <c:v>19.391038526797757</c:v>
                </c:pt>
                <c:pt idx="18">
                  <c:v>20.832235828486304</c:v>
                </c:pt>
                <c:pt idx="19">
                  <c:v>22.439723840817209</c:v>
                </c:pt>
                <c:pt idx="20">
                  <c:v>24.256943755250429</c:v>
                </c:pt>
                <c:pt idx="21">
                  <c:v>26.34695351126792</c:v>
                </c:pt>
                <c:pt idx="22">
                  <c:v>28.80636765064175</c:v>
                </c:pt>
                <c:pt idx="23">
                  <c:v>31.794411359164954</c:v>
                </c:pt>
                <c:pt idx="24">
                  <c:v>35.602351677396186</c:v>
                </c:pt>
                <c:pt idx="25">
                  <c:v>40.857638529216658</c:v>
                </c:pt>
              </c:numCache>
            </c:numRef>
          </c:yVal>
          <c:smooth val="1"/>
        </c:ser>
        <c:ser>
          <c:idx val="1"/>
          <c:order val="1"/>
          <c:tx>
            <c:strRef>
              <c:f>'3-SNR-Chan SE vs Range'!$H$44</c:f>
              <c:strCache>
                <c:ptCount val="1"/>
                <c:pt idx="0">
                  <c:v>Type B</c:v>
                </c:pt>
              </c:strCache>
            </c:strRef>
          </c:tx>
          <c:marker>
            <c:symbol val="none"/>
          </c:marker>
          <c:xVal>
            <c:numRef>
              <c:f>'3-SNR-Chan SE vs Range'!$H$46:$H$71</c:f>
              <c:numCache>
                <c:formatCode>0.00</c:formatCode>
                <c:ptCount val="26"/>
                <c:pt idx="0">
                  <c:v>0.35291948129038198</c:v>
                </c:pt>
                <c:pt idx="1">
                  <c:v>0.3463669641627235</c:v>
                </c:pt>
                <c:pt idx="2">
                  <c:v>0.33968807375639565</c:v>
                </c:pt>
                <c:pt idx="3">
                  <c:v>0.33287520340415805</c:v>
                </c:pt>
                <c:pt idx="4">
                  <c:v>0.32591995126163831</c:v>
                </c:pt>
                <c:pt idx="5">
                  <c:v>0.3188129988244171</c:v>
                </c:pt>
                <c:pt idx="6">
                  <c:v>0.31154396448727245</c:v>
                </c:pt>
                <c:pt idx="7">
                  <c:v>0.30410122557706998</c:v>
                </c:pt>
                <c:pt idx="8">
                  <c:v>0.29647170014439</c:v>
                </c:pt>
                <c:pt idx="9">
                  <c:v>0.28864057680016891</c:v>
                </c:pt>
                <c:pt idx="10">
                  <c:v>0.28059097662712412</c:v>
                </c:pt>
                <c:pt idx="11">
                  <c:v>0.27230352504804711</c:v>
                </c:pt>
                <c:pt idx="12">
                  <c:v>0.26375580248142699</c:v>
                </c:pt>
                <c:pt idx="13">
                  <c:v>0.254921628999288</c:v>
                </c:pt>
                <c:pt idx="14">
                  <c:v>0.24577011722477518</c:v>
                </c:pt>
                <c:pt idx="15">
                  <c:v>0.2362643945026606</c:v>
                </c:pt>
                <c:pt idx="16">
                  <c:v>0.22635984117934424</c:v>
                </c:pt>
                <c:pt idx="17">
                  <c:v>0.2160016001972371</c:v>
                </c:pt>
                <c:pt idx="18">
                  <c:v>0.20512095182305529</c:v>
                </c:pt>
                <c:pt idx="19">
                  <c:v>0.19362984910861569</c:v>
                </c:pt>
                <c:pt idx="20">
                  <c:v>0.18141232608302665</c:v>
                </c:pt>
                <c:pt idx="21">
                  <c:v>0.1683102660085935</c:v>
                </c:pt>
                <c:pt idx="22">
                  <c:v>0.15409821294522727</c:v>
                </c:pt>
                <c:pt idx="23">
                  <c:v>0.13843472404690133</c:v>
                </c:pt>
                <c:pt idx="24">
                  <c:v>0.12075631002548409</c:v>
                </c:pt>
                <c:pt idx="25">
                  <c:v>0.1</c:v>
                </c:pt>
              </c:numCache>
            </c:numRef>
          </c:xVal>
          <c:yVal>
            <c:numRef>
              <c:f>'3-SNR-Chan SE vs Range'!$I$46:$I$71</c:f>
              <c:numCache>
                <c:formatCode>0.00</c:formatCode>
                <c:ptCount val="26"/>
                <c:pt idx="0">
                  <c:v>5.7</c:v>
                </c:pt>
                <c:pt idx="1">
                  <c:v>6.2206917172678402</c:v>
                </c:pt>
                <c:pt idx="2">
                  <c:v>6.7616627161372929</c:v>
                </c:pt>
                <c:pt idx="3">
                  <c:v>7.3245568627510274</c:v>
                </c:pt>
                <c:pt idx="4">
                  <c:v>7.91122637878102</c:v>
                </c:pt>
                <c:pt idx="5">
                  <c:v>8.5237686119753526</c:v>
                </c:pt>
                <c:pt idx="6">
                  <c:v>9.1645712941832969</c:v>
                </c:pt>
                <c:pt idx="7">
                  <c:v>9.8363687520436045</c:v>
                </c:pt>
                <c:pt idx="8">
                  <c:v>10.542312413551558</c:v>
                </c:pt>
                <c:pt idx="9">
                  <c:v>11.286060208406614</c:v>
                </c:pt>
                <c:pt idx="10">
                  <c:v>12.071891283509492</c:v>
                </c:pt>
                <c:pt idx="11">
                  <c:v>12.904855154812743</c:v>
                </c:pt>
                <c:pt idx="12">
                  <c:v>13.790968497225226</c:v>
                </c:pt>
                <c:pt idx="13">
                  <c:v>14.737479084303438</c:v>
                </c:pt>
                <c:pt idx="14">
                  <c:v>15.75322640061145</c:v>
                </c:pt>
                <c:pt idx="15">
                  <c:v>16.849144798704785</c:v>
                </c:pt>
                <c:pt idx="16">
                  <c:v>18.038982664586886</c:v>
                </c:pt>
                <c:pt idx="17">
                  <c:v>19.340359412849718</c:v>
                </c:pt>
                <c:pt idx="18">
                  <c:v>20.776370679734374</c:v>
                </c:pt>
                <c:pt idx="19">
                  <c:v>22.378122797731208</c:v>
                </c:pt>
                <c:pt idx="20">
                  <c:v>24.188927689962672</c:v>
                </c:pt>
                <c:pt idx="21">
                  <c:v>26.271663151033373</c:v>
                </c:pt>
                <c:pt idx="22">
                  <c:v>28.722682854331424</c:v>
                </c:pt>
                <c:pt idx="23">
                  <c:v>31.700816566537124</c:v>
                </c:pt>
                <c:pt idx="24">
                  <c:v>35.496701580093728</c:v>
                </c:pt>
                <c:pt idx="25">
                  <c:v>40.736766178998764</c:v>
                </c:pt>
              </c:numCache>
            </c:numRef>
          </c:yVal>
          <c:smooth val="1"/>
        </c:ser>
        <c:ser>
          <c:idx val="0"/>
          <c:order val="2"/>
          <c:tx>
            <c:strRef>
              <c:f>'3-SNR-Chan SE vs Range'!$B$44</c:f>
              <c:strCache>
                <c:ptCount val="1"/>
                <c:pt idx="0">
                  <c:v>Type A</c:v>
                </c:pt>
              </c:strCache>
            </c:strRef>
          </c:tx>
          <c:marker>
            <c:symbol val="none"/>
          </c:marker>
          <c:xVal>
            <c:numRef>
              <c:f>'3-SNR-Chan SE vs Range'!$B$46:$B$70</c:f>
              <c:numCache>
                <c:formatCode>0.00</c:formatCode>
                <c:ptCount val="25"/>
                <c:pt idx="0">
                  <c:v>0.32931579887470902</c:v>
                </c:pt>
                <c:pt idx="1">
                  <c:v>0.32328151752450723</c:v>
                </c:pt>
                <c:pt idx="2">
                  <c:v>0.31650115917229871</c:v>
                </c:pt>
                <c:pt idx="3">
                  <c:v>0.31021771055481223</c:v>
                </c:pt>
                <c:pt idx="4">
                  <c:v>0.30380433197426554</c:v>
                </c:pt>
                <c:pt idx="5">
                  <c:v>0.29725261363155453</c:v>
                </c:pt>
                <c:pt idx="6">
                  <c:v>0.29055319735850565</c:v>
                </c:pt>
                <c:pt idx="7">
                  <c:v>0.28369561977533458</c:v>
                </c:pt>
                <c:pt idx="8">
                  <c:v>0.27666812043343858</c:v>
                </c:pt>
                <c:pt idx="9">
                  <c:v>0.26945740488736275</c:v>
                </c:pt>
                <c:pt idx="10">
                  <c:v>0.26204834903714358</c:v>
                </c:pt>
                <c:pt idx="11">
                  <c:v>0.2544236259028495</c:v>
                </c:pt>
                <c:pt idx="12">
                  <c:v>0.24656322840604922</c:v>
                </c:pt>
                <c:pt idx="13">
                  <c:v>0.23844385038510446</c:v>
                </c:pt>
                <c:pt idx="14">
                  <c:v>0.23003807069903576</c:v>
                </c:pt>
                <c:pt idx="15">
                  <c:v>0.22131325797474283</c:v>
                </c:pt>
                <c:pt idx="16">
                  <c:v>0.21223006935836297</c:v>
                </c:pt>
                <c:pt idx="17">
                  <c:v>0.20274034261664858</c:v>
                </c:pt>
                <c:pt idx="18">
                  <c:v>0.1927840520083976</c:v>
                </c:pt>
                <c:pt idx="19">
                  <c:v>0.18228476319549322</c:v>
                </c:pt>
                <c:pt idx="20">
                  <c:v>0.17114256944926803</c:v>
                </c:pt>
                <c:pt idx="21">
                  <c:v>0.15922255889841119</c:v>
                </c:pt>
                <c:pt idx="22">
                  <c:v>0.1463347786639202</c:v>
                </c:pt>
                <c:pt idx="23">
                  <c:v>0.13219648872447029</c:v>
                </c:pt>
                <c:pt idx="24">
                  <c:v>0.11635272156481553</c:v>
                </c:pt>
              </c:numCache>
            </c:numRef>
          </c:xVal>
          <c:yVal>
            <c:numRef>
              <c:f>'3-SNR-Chan SE vs Range'!$C$46:$C$71</c:f>
              <c:numCache>
                <c:formatCode>0.00</c:formatCode>
                <c:ptCount val="26"/>
                <c:pt idx="0">
                  <c:v>5.7</c:v>
                </c:pt>
                <c:pt idx="1">
                  <c:v>6.2098115449484146</c:v>
                </c:pt>
                <c:pt idx="2">
                  <c:v>6.7941351724963361</c:v>
                </c:pt>
                <c:pt idx="3">
                  <c:v>7.3469209566741629</c:v>
                </c:pt>
                <c:pt idx="4">
                  <c:v>7.9228059019868242</c:v>
                </c:pt>
                <c:pt idx="5">
                  <c:v>8.5238049952475254</c:v>
                </c:pt>
                <c:pt idx="6">
                  <c:v>9.1522089522229315</c:v>
                </c:pt>
                <c:pt idx="7">
                  <c:v>9.8106369393191919</c:v>
                </c:pt>
                <c:pt idx="8">
                  <c:v>10.50210253166988</c:v>
                </c:pt>
                <c:pt idx="9">
                  <c:v>11.230097107207625</c:v>
                </c:pt>
                <c:pt idx="10">
                  <c:v>11.998696518008551</c:v>
                </c:pt>
                <c:pt idx="11">
                  <c:v>12.8126992989752</c:v>
                </c:pt>
                <c:pt idx="12">
                  <c:v>13.6778083097226</c:v>
                </c:pt>
                <c:pt idx="13">
                  <c:v>14.600873293756585</c:v>
                </c:pt>
                <c:pt idx="14">
                  <c:v>15.590220644604724</c:v>
                </c:pt>
                <c:pt idx="15">
                  <c:v>16.656110938074821</c:v>
                </c:pt>
                <c:pt idx="16">
                  <c:v>17.811388660627543</c:v>
                </c:pt>
                <c:pt idx="17">
                  <c:v>19.072429976631557</c:v>
                </c:pt>
                <c:pt idx="18">
                  <c:v>20.460569314742084</c:v>
                </c:pt>
                <c:pt idx="19">
                  <c:v>22.004328019548328</c:v>
                </c:pt>
                <c:pt idx="20">
                  <c:v>23.743055557938895</c:v>
                </c:pt>
                <c:pt idx="21">
                  <c:v>25.733215714696801</c:v>
                </c:pt>
                <c:pt idx="22">
                  <c:v>28.060021598983436</c:v>
                </c:pt>
                <c:pt idx="23">
                  <c:v>30.86102323218023</c:v>
                </c:pt>
                <c:pt idx="24">
                  <c:v>34.38029138564827</c:v>
                </c:pt>
                <c:pt idx="25">
                  <c:v>38.555457653671908</c:v>
                </c:pt>
              </c:numCache>
            </c:numRef>
          </c:yVal>
          <c:smooth val="1"/>
        </c:ser>
        <c:axId val="123777024"/>
        <c:axId val="123778944"/>
      </c:scatterChart>
      <c:valAx>
        <c:axId val="123777024"/>
        <c:scaling>
          <c:orientation val="minMax"/>
        </c:scaling>
        <c:axPos val="b"/>
        <c:majorGridlines/>
        <c:title>
          <c:tx>
            <c:rich>
              <a:bodyPr/>
              <a:lstStyle/>
              <a:p>
                <a:pPr>
                  <a:defRPr/>
                </a:pPr>
                <a:r>
                  <a:rPr lang="en-US"/>
                  <a:t>Path Length in km</a:t>
                </a:r>
              </a:p>
            </c:rich>
          </c:tx>
        </c:title>
        <c:numFmt formatCode="#,##0.0" sourceLinked="0"/>
        <c:tickLblPos val="nextTo"/>
        <c:crossAx val="123778944"/>
        <c:crosses val="autoZero"/>
        <c:crossBetween val="midCat"/>
      </c:valAx>
      <c:valAx>
        <c:axId val="123778944"/>
        <c:scaling>
          <c:orientation val="minMax"/>
          <c:max val="25"/>
        </c:scaling>
        <c:axPos val="l"/>
        <c:majorGridlines/>
        <c:title>
          <c:tx>
            <c:rich>
              <a:bodyPr rot="-5400000" vert="horz"/>
              <a:lstStyle/>
              <a:p>
                <a:pPr>
                  <a:defRPr/>
                </a:pPr>
                <a:r>
                  <a:rPr lang="en-US"/>
                  <a:t>Relative SnR in dB</a:t>
                </a:r>
              </a:p>
            </c:rich>
          </c:tx>
        </c:title>
        <c:numFmt formatCode="0" sourceLinked="0"/>
        <c:minorTickMark val="cross"/>
        <c:tickLblPos val="nextTo"/>
        <c:crossAx val="123777024"/>
        <c:crosses val="autoZero"/>
        <c:crossBetween val="midCat"/>
      </c:valAx>
    </c:plotArea>
    <c:legend>
      <c:legendPos val="r"/>
    </c:legend>
    <c:plotVisOnly val="1"/>
  </c:chart>
  <c:printSettings>
    <c:headerFooter/>
    <c:pageMargins b="0.75000000000001343" l="0.70000000000000062" r="0.70000000000000062" t="0.75000000000001343"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SNR vs Coverage Area</a:t>
            </a:r>
            <a:br>
              <a:rPr lang="en-US"/>
            </a:br>
            <a:r>
              <a:rPr lang="en-US" sz="1400"/>
              <a:t>Erceg-SUI Modified Path Loss Model</a:t>
            </a:r>
            <a:endParaRPr lang="en-US"/>
          </a:p>
        </c:rich>
      </c:tx>
    </c:title>
    <c:plotArea>
      <c:layout/>
      <c:scatterChart>
        <c:scatterStyle val="lineMarker"/>
        <c:ser>
          <c:idx val="0"/>
          <c:order val="0"/>
          <c:tx>
            <c:strRef>
              <c:f>'3-SNR-Chan SE vs Range'!$B$44</c:f>
              <c:strCache>
                <c:ptCount val="1"/>
                <c:pt idx="0">
                  <c:v>Type A</c:v>
                </c:pt>
              </c:strCache>
            </c:strRef>
          </c:tx>
          <c:marker>
            <c:symbol val="none"/>
          </c:marker>
          <c:xVal>
            <c:numRef>
              <c:f>'3-SNR-Chan SE vs Range'!$G$46:$G$71</c:f>
              <c:numCache>
                <c:formatCode>0.00%</c:formatCode>
                <c:ptCount val="26"/>
                <c:pt idx="0">
                  <c:v>1</c:v>
                </c:pt>
                <c:pt idx="1">
                  <c:v>0.96368837320626555</c:v>
                </c:pt>
                <c:pt idx="2">
                  <c:v>0.92368837320626551</c:v>
                </c:pt>
                <c:pt idx="3">
                  <c:v>0.88737674641253117</c:v>
                </c:pt>
                <c:pt idx="4">
                  <c:v>0.85106511961879672</c:v>
                </c:pt>
                <c:pt idx="5">
                  <c:v>0.81475349282506249</c:v>
                </c:pt>
                <c:pt idx="6">
                  <c:v>0.77844186603132814</c:v>
                </c:pt>
                <c:pt idx="7">
                  <c:v>0.74213023923759358</c:v>
                </c:pt>
                <c:pt idx="8">
                  <c:v>0.70581861244385902</c:v>
                </c:pt>
                <c:pt idx="9">
                  <c:v>0.66950698565012434</c:v>
                </c:pt>
                <c:pt idx="10">
                  <c:v>0.63319535885638989</c:v>
                </c:pt>
                <c:pt idx="11">
                  <c:v>0.59688373206265555</c:v>
                </c:pt>
                <c:pt idx="12">
                  <c:v>0.56057210526892109</c:v>
                </c:pt>
                <c:pt idx="13">
                  <c:v>0.52426047847518664</c:v>
                </c:pt>
                <c:pt idx="14">
                  <c:v>0.48794885168145236</c:v>
                </c:pt>
                <c:pt idx="15">
                  <c:v>0.45163722488771801</c:v>
                </c:pt>
                <c:pt idx="16">
                  <c:v>0.41532559809398362</c:v>
                </c:pt>
                <c:pt idx="17">
                  <c:v>0.37901397130024933</c:v>
                </c:pt>
                <c:pt idx="18">
                  <c:v>0.34270234450651499</c:v>
                </c:pt>
                <c:pt idx="19">
                  <c:v>0.30639071771278065</c:v>
                </c:pt>
                <c:pt idx="20">
                  <c:v>0.27007909091904625</c:v>
                </c:pt>
                <c:pt idx="21">
                  <c:v>0.23376746412531185</c:v>
                </c:pt>
                <c:pt idx="22">
                  <c:v>0.19745583733157751</c:v>
                </c:pt>
                <c:pt idx="23">
                  <c:v>0.16114421053784311</c:v>
                </c:pt>
                <c:pt idx="24">
                  <c:v>0.12483258374410872</c:v>
                </c:pt>
                <c:pt idx="25">
                  <c:v>9.2209330156640151E-2</c:v>
                </c:pt>
              </c:numCache>
            </c:numRef>
          </c:xVal>
          <c:yVal>
            <c:numRef>
              <c:f>'3-SNR-Chan SE vs Range'!$C$46:$C$71</c:f>
              <c:numCache>
                <c:formatCode>0.00</c:formatCode>
                <c:ptCount val="26"/>
                <c:pt idx="0">
                  <c:v>5.7</c:v>
                </c:pt>
                <c:pt idx="1">
                  <c:v>6.2098115449484146</c:v>
                </c:pt>
                <c:pt idx="2">
                  <c:v>6.7941351724963361</c:v>
                </c:pt>
                <c:pt idx="3">
                  <c:v>7.3469209566741629</c:v>
                </c:pt>
                <c:pt idx="4">
                  <c:v>7.9228059019868242</c:v>
                </c:pt>
                <c:pt idx="5">
                  <c:v>8.5238049952475254</c:v>
                </c:pt>
                <c:pt idx="6">
                  <c:v>9.1522089522229315</c:v>
                </c:pt>
                <c:pt idx="7">
                  <c:v>9.8106369393191919</c:v>
                </c:pt>
                <c:pt idx="8">
                  <c:v>10.50210253166988</c:v>
                </c:pt>
                <c:pt idx="9">
                  <c:v>11.230097107207625</c:v>
                </c:pt>
                <c:pt idx="10">
                  <c:v>11.998696518008551</c:v>
                </c:pt>
                <c:pt idx="11">
                  <c:v>12.8126992989752</c:v>
                </c:pt>
                <c:pt idx="12">
                  <c:v>13.6778083097226</c:v>
                </c:pt>
                <c:pt idx="13">
                  <c:v>14.600873293756585</c:v>
                </c:pt>
                <c:pt idx="14">
                  <c:v>15.590220644604724</c:v>
                </c:pt>
                <c:pt idx="15">
                  <c:v>16.656110938074821</c:v>
                </c:pt>
                <c:pt idx="16">
                  <c:v>17.811388660627543</c:v>
                </c:pt>
                <c:pt idx="17">
                  <c:v>19.072429976631557</c:v>
                </c:pt>
                <c:pt idx="18">
                  <c:v>20.460569314742084</c:v>
                </c:pt>
                <c:pt idx="19">
                  <c:v>22.004328019548328</c:v>
                </c:pt>
                <c:pt idx="20">
                  <c:v>23.743055557938895</c:v>
                </c:pt>
                <c:pt idx="21">
                  <c:v>25.733215714696801</c:v>
                </c:pt>
                <c:pt idx="22">
                  <c:v>28.060021598983436</c:v>
                </c:pt>
                <c:pt idx="23">
                  <c:v>30.86102323218023</c:v>
                </c:pt>
                <c:pt idx="24">
                  <c:v>34.38029138564827</c:v>
                </c:pt>
                <c:pt idx="25">
                  <c:v>38.555457653671908</c:v>
                </c:pt>
              </c:numCache>
            </c:numRef>
          </c:yVal>
        </c:ser>
        <c:ser>
          <c:idx val="1"/>
          <c:order val="1"/>
          <c:tx>
            <c:strRef>
              <c:f>'3-SNR-Chan SE vs Range'!$H$44</c:f>
              <c:strCache>
                <c:ptCount val="1"/>
                <c:pt idx="0">
                  <c:v>Type B</c:v>
                </c:pt>
              </c:strCache>
            </c:strRef>
          </c:tx>
          <c:marker>
            <c:symbol val="none"/>
          </c:marker>
          <c:xVal>
            <c:numRef>
              <c:f>'3-SNR-Chan SE vs Range'!$M$46:$M$71</c:f>
              <c:numCache>
                <c:formatCode>0.00%</c:formatCode>
                <c:ptCount val="26"/>
                <c:pt idx="0">
                  <c:v>1</c:v>
                </c:pt>
                <c:pt idx="1">
                  <c:v>0.96321150591944116</c:v>
                </c:pt>
                <c:pt idx="2">
                  <c:v>0.9264230118388822</c:v>
                </c:pt>
                <c:pt idx="3">
                  <c:v>0.88963451775832325</c:v>
                </c:pt>
                <c:pt idx="4">
                  <c:v>0.85284602367776419</c:v>
                </c:pt>
                <c:pt idx="5">
                  <c:v>0.81605752959720512</c:v>
                </c:pt>
                <c:pt idx="6">
                  <c:v>0.77926903551664617</c:v>
                </c:pt>
                <c:pt idx="7">
                  <c:v>0.74248054143608733</c:v>
                </c:pt>
                <c:pt idx="8">
                  <c:v>0.70569204735552837</c:v>
                </c:pt>
                <c:pt idx="9">
                  <c:v>0.66890355327496942</c:v>
                </c:pt>
                <c:pt idx="10">
                  <c:v>0.63211505919441047</c:v>
                </c:pt>
                <c:pt idx="11">
                  <c:v>0.59532656511385151</c:v>
                </c:pt>
                <c:pt idx="12">
                  <c:v>0.55853807103329256</c:v>
                </c:pt>
                <c:pt idx="13">
                  <c:v>0.52174957695273361</c:v>
                </c:pt>
                <c:pt idx="14">
                  <c:v>0.48496108287217465</c:v>
                </c:pt>
                <c:pt idx="15">
                  <c:v>0.4481725887916157</c:v>
                </c:pt>
                <c:pt idx="16">
                  <c:v>0.4113840947110568</c:v>
                </c:pt>
                <c:pt idx="17">
                  <c:v>0.3745956006304979</c:v>
                </c:pt>
                <c:pt idx="18">
                  <c:v>0.33780710654993895</c:v>
                </c:pt>
                <c:pt idx="19">
                  <c:v>0.30101861246938011</c:v>
                </c:pt>
                <c:pt idx="20">
                  <c:v>0.26423011838882121</c:v>
                </c:pt>
                <c:pt idx="21">
                  <c:v>0.22744162430826229</c:v>
                </c:pt>
                <c:pt idx="22">
                  <c:v>0.19065313022770333</c:v>
                </c:pt>
                <c:pt idx="23">
                  <c:v>0.15386463614714443</c:v>
                </c:pt>
                <c:pt idx="24">
                  <c:v>0.11707614206658552</c:v>
                </c:pt>
                <c:pt idx="25">
                  <c:v>8.0287647986027111E-2</c:v>
                </c:pt>
              </c:numCache>
            </c:numRef>
          </c:xVal>
          <c:yVal>
            <c:numRef>
              <c:f>'3-SNR-Chan SE vs Range'!$I$46:$I$71</c:f>
              <c:numCache>
                <c:formatCode>0.00</c:formatCode>
                <c:ptCount val="26"/>
                <c:pt idx="0">
                  <c:v>5.7</c:v>
                </c:pt>
                <c:pt idx="1">
                  <c:v>6.2206917172678402</c:v>
                </c:pt>
                <c:pt idx="2">
                  <c:v>6.7616627161372929</c:v>
                </c:pt>
                <c:pt idx="3">
                  <c:v>7.3245568627510274</c:v>
                </c:pt>
                <c:pt idx="4">
                  <c:v>7.91122637878102</c:v>
                </c:pt>
                <c:pt idx="5">
                  <c:v>8.5237686119753526</c:v>
                </c:pt>
                <c:pt idx="6">
                  <c:v>9.1645712941832969</c:v>
                </c:pt>
                <c:pt idx="7">
                  <c:v>9.8363687520436045</c:v>
                </c:pt>
                <c:pt idx="8">
                  <c:v>10.542312413551558</c:v>
                </c:pt>
                <c:pt idx="9">
                  <c:v>11.286060208406614</c:v>
                </c:pt>
                <c:pt idx="10">
                  <c:v>12.071891283509492</c:v>
                </c:pt>
                <c:pt idx="11">
                  <c:v>12.904855154812743</c:v>
                </c:pt>
                <c:pt idx="12">
                  <c:v>13.790968497225226</c:v>
                </c:pt>
                <c:pt idx="13">
                  <c:v>14.737479084303438</c:v>
                </c:pt>
                <c:pt idx="14">
                  <c:v>15.75322640061145</c:v>
                </c:pt>
                <c:pt idx="15">
                  <c:v>16.849144798704785</c:v>
                </c:pt>
                <c:pt idx="16">
                  <c:v>18.038982664586886</c:v>
                </c:pt>
                <c:pt idx="17">
                  <c:v>19.340359412849718</c:v>
                </c:pt>
                <c:pt idx="18">
                  <c:v>20.776370679734374</c:v>
                </c:pt>
                <c:pt idx="19">
                  <c:v>22.378122797731208</c:v>
                </c:pt>
                <c:pt idx="20">
                  <c:v>24.188927689962672</c:v>
                </c:pt>
                <c:pt idx="21">
                  <c:v>26.271663151033373</c:v>
                </c:pt>
                <c:pt idx="22">
                  <c:v>28.722682854331424</c:v>
                </c:pt>
                <c:pt idx="23">
                  <c:v>31.700816566537124</c:v>
                </c:pt>
                <c:pt idx="24">
                  <c:v>35.496701580093728</c:v>
                </c:pt>
                <c:pt idx="25">
                  <c:v>40.736766178998764</c:v>
                </c:pt>
              </c:numCache>
            </c:numRef>
          </c:yVal>
        </c:ser>
        <c:ser>
          <c:idx val="2"/>
          <c:order val="2"/>
          <c:tx>
            <c:strRef>
              <c:f>'3-SNR-Chan SE vs Range'!$N$44</c:f>
              <c:strCache>
                <c:ptCount val="1"/>
                <c:pt idx="0">
                  <c:v>Type C</c:v>
                </c:pt>
              </c:strCache>
            </c:strRef>
          </c:tx>
          <c:marker>
            <c:symbol val="none"/>
          </c:marker>
          <c:xVal>
            <c:numRef>
              <c:f>'3-SNR-Chan SE vs Range'!$S$46:$S$71</c:f>
              <c:numCache>
                <c:formatCode>0.00%</c:formatCode>
                <c:ptCount val="26"/>
                <c:pt idx="0">
                  <c:v>1</c:v>
                </c:pt>
                <c:pt idx="1">
                  <c:v>0.96321493283717463</c:v>
                </c:pt>
                <c:pt idx="2">
                  <c:v>0.92642986567434915</c:v>
                </c:pt>
                <c:pt idx="3">
                  <c:v>0.88964479851152367</c:v>
                </c:pt>
                <c:pt idx="4">
                  <c:v>0.8528597313486983</c:v>
                </c:pt>
                <c:pt idx="5">
                  <c:v>0.81607466418587304</c:v>
                </c:pt>
                <c:pt idx="6">
                  <c:v>0.77928959702304756</c:v>
                </c:pt>
                <c:pt idx="7">
                  <c:v>0.74250452986022208</c:v>
                </c:pt>
                <c:pt idx="8">
                  <c:v>0.70571946269739683</c:v>
                </c:pt>
                <c:pt idx="9">
                  <c:v>0.66893439553457146</c:v>
                </c:pt>
                <c:pt idx="10">
                  <c:v>0.63214932837174598</c:v>
                </c:pt>
                <c:pt idx="11">
                  <c:v>0.59536426120892061</c:v>
                </c:pt>
                <c:pt idx="12">
                  <c:v>0.55857919404609524</c:v>
                </c:pt>
                <c:pt idx="13">
                  <c:v>0.52179412688326987</c:v>
                </c:pt>
                <c:pt idx="14">
                  <c:v>0.48500905972044445</c:v>
                </c:pt>
                <c:pt idx="15">
                  <c:v>0.44822399255761913</c:v>
                </c:pt>
                <c:pt idx="16">
                  <c:v>0.41143892539479376</c:v>
                </c:pt>
                <c:pt idx="17">
                  <c:v>0.3746538582319684</c:v>
                </c:pt>
                <c:pt idx="18">
                  <c:v>0.33786879106914303</c:v>
                </c:pt>
                <c:pt idx="19">
                  <c:v>0.3010837239063176</c:v>
                </c:pt>
                <c:pt idx="20">
                  <c:v>0.26429865674349223</c:v>
                </c:pt>
                <c:pt idx="21">
                  <c:v>0.22751358958066681</c:v>
                </c:pt>
                <c:pt idx="22">
                  <c:v>0.1907285224178415</c:v>
                </c:pt>
                <c:pt idx="23">
                  <c:v>0.15394345525501613</c:v>
                </c:pt>
                <c:pt idx="24">
                  <c:v>0.11715838809219074</c:v>
                </c:pt>
                <c:pt idx="25">
                  <c:v>8.0373320929365777E-2</c:v>
                </c:pt>
              </c:numCache>
            </c:numRef>
          </c:xVal>
          <c:yVal>
            <c:numRef>
              <c:f>'3-SNR-Chan SE vs Range'!$O$46:$O$71</c:f>
              <c:numCache>
                <c:formatCode>0.00</c:formatCode>
                <c:ptCount val="26"/>
                <c:pt idx="0">
                  <c:v>5.7</c:v>
                </c:pt>
                <c:pt idx="1">
                  <c:v>6.2226594531832999</c:v>
                </c:pt>
                <c:pt idx="2">
                  <c:v>6.7656728170896763</c:v>
                </c:pt>
                <c:pt idx="3">
                  <c:v>7.3306898380104979</c:v>
                </c:pt>
                <c:pt idx="4">
                  <c:v>7.9195693406782901</c:v>
                </c:pt>
                <c:pt idx="5">
                  <c:v>8.5344161222681088</c:v>
                </c:pt>
                <c:pt idx="6">
                  <c:v>9.1776263613769018</c:v>
                </c:pt>
                <c:pt idx="7">
                  <c:v>9.8519440148497424</c:v>
                </c:pt>
                <c:pt idx="8">
                  <c:v>10.560531555975484</c:v>
                </c:pt>
                <c:pt idx="9">
                  <c:v>11.307059665957844</c:v>
                </c:pt>
                <c:pt idx="10">
                  <c:v>12.095822319325656</c:v>
                </c:pt>
                <c:pt idx="11">
                  <c:v>12.931886411481722</c:v>
                </c:pt>
                <c:pt idx="12">
                  <c:v>13.821289168498975</c:v>
                </c:pt>
                <c:pt idx="13">
                  <c:v>14.771302906566909</c:v>
                </c:pt>
                <c:pt idx="14">
                  <c:v>15.790796746336021</c:v>
                </c:pt>
                <c:pt idx="15">
                  <c:v>16.890741278801084</c:v>
                </c:pt>
                <c:pt idx="16">
                  <c:v>18.084929840218379</c:v>
                </c:pt>
                <c:pt idx="17">
                  <c:v>19.391038526797757</c:v>
                </c:pt>
                <c:pt idx="18">
                  <c:v>20.832235828486304</c:v>
                </c:pt>
                <c:pt idx="19">
                  <c:v>22.439723840817209</c:v>
                </c:pt>
                <c:pt idx="20">
                  <c:v>24.256943755250429</c:v>
                </c:pt>
                <c:pt idx="21">
                  <c:v>26.34695351126792</c:v>
                </c:pt>
                <c:pt idx="22">
                  <c:v>28.80636765064175</c:v>
                </c:pt>
                <c:pt idx="23">
                  <c:v>31.794411359164954</c:v>
                </c:pt>
                <c:pt idx="24">
                  <c:v>35.602351677396186</c:v>
                </c:pt>
                <c:pt idx="25">
                  <c:v>40.857638529216658</c:v>
                </c:pt>
              </c:numCache>
            </c:numRef>
          </c:yVal>
        </c:ser>
        <c:axId val="123805056"/>
        <c:axId val="123819520"/>
      </c:scatterChart>
      <c:valAx>
        <c:axId val="123805056"/>
        <c:scaling>
          <c:orientation val="minMax"/>
          <c:max val="1"/>
        </c:scaling>
        <c:axPos val="b"/>
        <c:majorGridlines/>
        <c:minorGridlines/>
        <c:title>
          <c:tx>
            <c:rich>
              <a:bodyPr/>
              <a:lstStyle/>
              <a:p>
                <a:pPr>
                  <a:defRPr/>
                </a:pPr>
                <a:r>
                  <a:rPr lang="en-US"/>
                  <a:t>Per Cent of Coverage Area</a:t>
                </a:r>
              </a:p>
            </c:rich>
          </c:tx>
        </c:title>
        <c:numFmt formatCode="0%" sourceLinked="0"/>
        <c:tickLblPos val="nextTo"/>
        <c:crossAx val="123819520"/>
        <c:crosses val="autoZero"/>
        <c:crossBetween val="midCat"/>
        <c:minorUnit val="0.1"/>
      </c:valAx>
      <c:valAx>
        <c:axId val="123819520"/>
        <c:scaling>
          <c:orientation val="minMax"/>
          <c:max val="25"/>
        </c:scaling>
        <c:axPos val="l"/>
        <c:majorGridlines/>
        <c:title>
          <c:tx>
            <c:rich>
              <a:bodyPr rot="-5400000" vert="horz"/>
              <a:lstStyle/>
              <a:p>
                <a:pPr>
                  <a:defRPr/>
                </a:pPr>
                <a:r>
                  <a:rPr lang="en-US"/>
                  <a:t>Relative SnR in dB</a:t>
                </a:r>
              </a:p>
            </c:rich>
          </c:tx>
        </c:title>
        <c:numFmt formatCode="#,##0" sourceLinked="0"/>
        <c:minorTickMark val="cross"/>
        <c:tickLblPos val="nextTo"/>
        <c:crossAx val="123805056"/>
        <c:crosses val="autoZero"/>
        <c:crossBetween val="midCat"/>
      </c:valAx>
    </c:plotArea>
    <c:legend>
      <c:legendPos val="r"/>
    </c:legend>
    <c:plotVisOnly val="1"/>
  </c:chart>
  <c:printSettings>
    <c:headerFooter/>
    <c:pageMargins b="0.75000000000001366" l="0.70000000000000062" r="0.70000000000000062" t="0.75000000000001366"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UL SE Density</a:t>
            </a:r>
          </a:p>
          <a:p>
            <a:pPr>
              <a:defRPr/>
            </a:pPr>
            <a:r>
              <a:rPr lang="en-US" sz="1400"/>
              <a:t>Erceg-SUI Modified Path</a:t>
            </a:r>
            <a:r>
              <a:rPr lang="en-US" sz="1400" baseline="0"/>
              <a:t> Loss Model</a:t>
            </a:r>
            <a:endParaRPr lang="en-US" sz="1400"/>
          </a:p>
        </c:rich>
      </c:tx>
    </c:title>
    <c:plotArea>
      <c:layout/>
      <c:scatterChart>
        <c:scatterStyle val="smoothMarker"/>
        <c:ser>
          <c:idx val="0"/>
          <c:order val="0"/>
          <c:tx>
            <c:strRef>
              <c:f>'3-SNR-Chan SE vs Range'!$N$44</c:f>
              <c:strCache>
                <c:ptCount val="1"/>
                <c:pt idx="0">
                  <c:v>Type C</c:v>
                </c:pt>
              </c:strCache>
            </c:strRef>
          </c:tx>
          <c:marker>
            <c:symbol val="none"/>
          </c:marker>
          <c:xVal>
            <c:numRef>
              <c:f>'3-SNR-Chan SE vs Range'!$N$47:$N$71</c:f>
              <c:numCache>
                <c:formatCode>0.00</c:formatCode>
                <c:ptCount val="25"/>
                <c:pt idx="0">
                  <c:v>0.34618292798451622</c:v>
                </c:pt>
                <c:pt idx="1">
                  <c:v>0.33950823820653042</c:v>
                </c:pt>
                <c:pt idx="2">
                  <c:v>0.33269966635431369</c:v>
                </c:pt>
                <c:pt idx="3">
                  <c:v>0.32574881761019658</c:v>
                </c:pt>
                <c:pt idx="4">
                  <c:v>0.31864638136437484</c:v>
                </c:pt>
                <c:pt idx="5">
                  <c:v>0.31138198492973235</c:v>
                </c:pt>
                <c:pt idx="6">
                  <c:v>0.30394401576762375</c:v>
                </c:pt>
                <c:pt idx="7">
                  <c:v>0.29631940352113123</c:v>
                </c:pt>
                <c:pt idx="8">
                  <c:v>0.28849335015783029</c:v>
                </c:pt>
                <c:pt idx="9">
                  <c:v>0.28044899227392123</c:v>
                </c:pt>
                <c:pt idx="10">
                  <c:v>0.27216697347332097</c:v>
                </c:pt>
                <c:pt idx="11">
                  <c:v>0.26362489569802938</c:v>
                </c:pt>
                <c:pt idx="12">
                  <c:v>0.25479660479285499</c:v>
                </c:pt>
                <c:pt idx="13">
                  <c:v>0.24565124464601396</c:v>
                </c:pt>
                <c:pt idx="14">
                  <c:v>0.23615198110180077</c:v>
                </c:pt>
                <c:pt idx="15">
                  <c:v>0.22625424274579856</c:v>
                </c:pt>
                <c:pt idx="16">
                  <c:v>0.21590323421070887</c:v>
                </c:pt>
                <c:pt idx="17">
                  <c:v>0.20503031659931092</c:v>
                </c:pt>
                <c:pt idx="18">
                  <c:v>0.1935475520562922</c:v>
                </c:pt>
                <c:pt idx="19">
                  <c:v>0.18133912729786864</c:v>
                </c:pt>
                <c:pt idx="20">
                  <c:v>0.16824714937056756</c:v>
                </c:pt>
                <c:pt idx="21">
                  <c:v>0.15404651068262321</c:v>
                </c:pt>
                <c:pt idx="22">
                  <c:v>0.13839635701730379</c:v>
                </c:pt>
                <c:pt idx="23">
                  <c:v>0.12073431913847232</c:v>
                </c:pt>
                <c:pt idx="24">
                  <c:v>0.1</c:v>
                </c:pt>
              </c:numCache>
            </c:numRef>
          </c:xVal>
          <c:yVal>
            <c:numRef>
              <c:f>'3-SNR-Chan SE vs Range'!$Q$47:$Q$71</c:f>
              <c:numCache>
                <c:formatCode>0.000</c:formatCode>
                <c:ptCount val="25"/>
                <c:pt idx="0">
                  <c:v>4.8175705018972881</c:v>
                </c:pt>
                <c:pt idx="1">
                  <c:v>5.2024372810672492</c:v>
                </c:pt>
                <c:pt idx="2">
                  <c:v>5.6374567761329093</c:v>
                </c:pt>
                <c:pt idx="3">
                  <c:v>6.131849343307695</c:v>
                </c:pt>
                <c:pt idx="4">
                  <c:v>6.6812736138081688</c:v>
                </c:pt>
                <c:pt idx="5">
                  <c:v>7.3126635353688307</c:v>
                </c:pt>
                <c:pt idx="6">
                  <c:v>8.0434658651705959</c:v>
                </c:pt>
                <c:pt idx="7">
                  <c:v>8.8960682414211654</c:v>
                </c:pt>
                <c:pt idx="8">
                  <c:v>9.8273276040216224</c:v>
                </c:pt>
                <c:pt idx="9">
                  <c:v>10.929338926159978</c:v>
                </c:pt>
                <c:pt idx="10">
                  <c:v>12.247943377437373</c:v>
                </c:pt>
                <c:pt idx="11">
                  <c:v>13.845711574667117</c:v>
                </c:pt>
                <c:pt idx="12">
                  <c:v>15.562886423226301</c:v>
                </c:pt>
                <c:pt idx="13">
                  <c:v>17.685499484245124</c:v>
                </c:pt>
                <c:pt idx="14">
                  <c:v>20.360429870175025</c:v>
                </c:pt>
                <c:pt idx="15">
                  <c:v>23.392151698781845</c:v>
                </c:pt>
                <c:pt idx="16">
                  <c:v>27.351786912730741</c:v>
                </c:pt>
                <c:pt idx="17">
                  <c:v>32.046454906530158</c:v>
                </c:pt>
                <c:pt idx="18">
                  <c:v>38.530444183585296</c:v>
                </c:pt>
                <c:pt idx="19">
                  <c:v>47.989798633748812</c:v>
                </c:pt>
                <c:pt idx="20">
                  <c:v>59.488188141186683</c:v>
                </c:pt>
                <c:pt idx="21">
                  <c:v>78.395499220769182</c:v>
                </c:pt>
                <c:pt idx="22">
                  <c:v>100.47749544870953</c:v>
                </c:pt>
                <c:pt idx="23">
                  <c:v>132.02514200325976</c:v>
                </c:pt>
              </c:numCache>
            </c:numRef>
          </c:yVal>
          <c:smooth val="1"/>
        </c:ser>
        <c:ser>
          <c:idx val="1"/>
          <c:order val="1"/>
          <c:tx>
            <c:strRef>
              <c:f>'3-SNR-Chan SE vs Range'!$H$44</c:f>
              <c:strCache>
                <c:ptCount val="1"/>
                <c:pt idx="0">
                  <c:v>Type B</c:v>
                </c:pt>
              </c:strCache>
            </c:strRef>
          </c:tx>
          <c:marker>
            <c:symbol val="none"/>
          </c:marker>
          <c:xVal>
            <c:numRef>
              <c:f>'3-SNR-Chan SE vs Range'!$H$47:$H$71</c:f>
              <c:numCache>
                <c:formatCode>0.00</c:formatCode>
                <c:ptCount val="25"/>
                <c:pt idx="0">
                  <c:v>0.3463669641627235</c:v>
                </c:pt>
                <c:pt idx="1">
                  <c:v>0.33968807375639565</c:v>
                </c:pt>
                <c:pt idx="2">
                  <c:v>0.33287520340415805</c:v>
                </c:pt>
                <c:pt idx="3">
                  <c:v>0.32591995126163831</c:v>
                </c:pt>
                <c:pt idx="4">
                  <c:v>0.3188129988244171</c:v>
                </c:pt>
                <c:pt idx="5">
                  <c:v>0.31154396448727245</c:v>
                </c:pt>
                <c:pt idx="6">
                  <c:v>0.30410122557706998</c:v>
                </c:pt>
                <c:pt idx="7">
                  <c:v>0.29647170014439</c:v>
                </c:pt>
                <c:pt idx="8">
                  <c:v>0.28864057680016891</c:v>
                </c:pt>
                <c:pt idx="9">
                  <c:v>0.28059097662712412</c:v>
                </c:pt>
                <c:pt idx="10">
                  <c:v>0.27230352504804711</c:v>
                </c:pt>
                <c:pt idx="11">
                  <c:v>0.26375580248142699</c:v>
                </c:pt>
                <c:pt idx="12">
                  <c:v>0.254921628999288</c:v>
                </c:pt>
                <c:pt idx="13">
                  <c:v>0.24577011722477518</c:v>
                </c:pt>
                <c:pt idx="14">
                  <c:v>0.2362643945026606</c:v>
                </c:pt>
                <c:pt idx="15">
                  <c:v>0.22635984117934424</c:v>
                </c:pt>
                <c:pt idx="16">
                  <c:v>0.2160016001972371</c:v>
                </c:pt>
                <c:pt idx="17">
                  <c:v>0.20512095182305529</c:v>
                </c:pt>
                <c:pt idx="18">
                  <c:v>0.19362984910861569</c:v>
                </c:pt>
                <c:pt idx="19">
                  <c:v>0.18141232608302665</c:v>
                </c:pt>
                <c:pt idx="20">
                  <c:v>0.1683102660085935</c:v>
                </c:pt>
                <c:pt idx="21">
                  <c:v>0.15409821294522727</c:v>
                </c:pt>
                <c:pt idx="22">
                  <c:v>0.13843472404690133</c:v>
                </c:pt>
                <c:pt idx="23">
                  <c:v>0.12075631002548409</c:v>
                </c:pt>
                <c:pt idx="24">
                  <c:v>0.1</c:v>
                </c:pt>
              </c:numCache>
            </c:numRef>
          </c:xVal>
          <c:yVal>
            <c:numRef>
              <c:f>'3-SNR-Chan SE vs Range'!$K$47:$K$71</c:f>
              <c:numCache>
                <c:formatCode>0.000</c:formatCode>
                <c:ptCount val="25"/>
                <c:pt idx="0">
                  <c:v>4.812452394148572</c:v>
                </c:pt>
                <c:pt idx="1">
                  <c:v>5.196930255145368</c:v>
                </c:pt>
                <c:pt idx="2">
                  <c:v>5.6315126769642987</c:v>
                </c:pt>
                <c:pt idx="3">
                  <c:v>6.1254116259215747</c:v>
                </c:pt>
                <c:pt idx="4">
                  <c:v>6.674291928934462</c:v>
                </c:pt>
                <c:pt idx="5">
                  <c:v>7.3050614360655883</c:v>
                </c:pt>
                <c:pt idx="6">
                  <c:v>8.0351516278363082</c:v>
                </c:pt>
                <c:pt idx="7">
                  <c:v>8.8869308218032401</c:v>
                </c:pt>
                <c:pt idx="8">
                  <c:v>9.8173049282980127</c:v>
                </c:pt>
                <c:pt idx="9">
                  <c:v>10.918280819316049</c:v>
                </c:pt>
                <c:pt idx="10">
                  <c:v>12.235662547740088</c:v>
                </c:pt>
                <c:pt idx="11">
                  <c:v>13.831971230292867</c:v>
                </c:pt>
                <c:pt idx="12">
                  <c:v>15.547624788526557</c:v>
                </c:pt>
                <c:pt idx="13">
                  <c:v>17.668395594355847</c:v>
                </c:pt>
                <c:pt idx="14">
                  <c:v>20.341059700807747</c:v>
                </c:pt>
                <c:pt idx="15">
                  <c:v>23.37033158805006</c:v>
                </c:pt>
                <c:pt idx="16">
                  <c:v>27.326880866811738</c:v>
                </c:pt>
                <c:pt idx="17">
                  <c:v>32.018140920250694</c:v>
                </c:pt>
                <c:pt idx="18">
                  <c:v>38.497698528566765</c:v>
                </c:pt>
                <c:pt idx="19">
                  <c:v>47.951079255193292</c:v>
                </c:pt>
                <c:pt idx="20">
                  <c:v>59.443580161907363</c:v>
                </c:pt>
                <c:pt idx="21">
                  <c:v>78.342902313233608</c:v>
                </c:pt>
                <c:pt idx="22">
                  <c:v>100.42180871460965</c:v>
                </c:pt>
                <c:pt idx="23">
                  <c:v>131.97706028204954</c:v>
                </c:pt>
              </c:numCache>
            </c:numRef>
          </c:yVal>
          <c:smooth val="1"/>
        </c:ser>
        <c:ser>
          <c:idx val="2"/>
          <c:order val="2"/>
          <c:tx>
            <c:strRef>
              <c:f>'3-SNR-Chan SE vs Range'!$B$44</c:f>
              <c:strCache>
                <c:ptCount val="1"/>
                <c:pt idx="0">
                  <c:v>Type A</c:v>
                </c:pt>
              </c:strCache>
            </c:strRef>
          </c:tx>
          <c:marker>
            <c:symbol val="none"/>
          </c:marker>
          <c:xVal>
            <c:numRef>
              <c:f>'3-SNR-Chan SE vs Range'!$B$46:$B$70</c:f>
              <c:numCache>
                <c:formatCode>0.00</c:formatCode>
                <c:ptCount val="25"/>
                <c:pt idx="0">
                  <c:v>0.32931579887470902</c:v>
                </c:pt>
                <c:pt idx="1">
                  <c:v>0.32328151752450723</c:v>
                </c:pt>
                <c:pt idx="2">
                  <c:v>0.31650115917229871</c:v>
                </c:pt>
                <c:pt idx="3">
                  <c:v>0.31021771055481223</c:v>
                </c:pt>
                <c:pt idx="4">
                  <c:v>0.30380433197426554</c:v>
                </c:pt>
                <c:pt idx="5">
                  <c:v>0.29725261363155453</c:v>
                </c:pt>
                <c:pt idx="6">
                  <c:v>0.29055319735850565</c:v>
                </c:pt>
                <c:pt idx="7">
                  <c:v>0.28369561977533458</c:v>
                </c:pt>
                <c:pt idx="8">
                  <c:v>0.27666812043343858</c:v>
                </c:pt>
                <c:pt idx="9">
                  <c:v>0.26945740488736275</c:v>
                </c:pt>
                <c:pt idx="10">
                  <c:v>0.26204834903714358</c:v>
                </c:pt>
                <c:pt idx="11">
                  <c:v>0.2544236259028495</c:v>
                </c:pt>
                <c:pt idx="12">
                  <c:v>0.24656322840604922</c:v>
                </c:pt>
                <c:pt idx="13">
                  <c:v>0.23844385038510446</c:v>
                </c:pt>
                <c:pt idx="14">
                  <c:v>0.23003807069903576</c:v>
                </c:pt>
                <c:pt idx="15">
                  <c:v>0.22131325797474283</c:v>
                </c:pt>
                <c:pt idx="16">
                  <c:v>0.21223006935836297</c:v>
                </c:pt>
                <c:pt idx="17">
                  <c:v>0.20274034261664858</c:v>
                </c:pt>
                <c:pt idx="18">
                  <c:v>0.1927840520083976</c:v>
                </c:pt>
                <c:pt idx="19">
                  <c:v>0.18228476319549322</c:v>
                </c:pt>
                <c:pt idx="20">
                  <c:v>0.17114256944926803</c:v>
                </c:pt>
                <c:pt idx="21">
                  <c:v>0.15922255889841119</c:v>
                </c:pt>
                <c:pt idx="22">
                  <c:v>0.1463347786639202</c:v>
                </c:pt>
                <c:pt idx="23">
                  <c:v>0.13219648872447029</c:v>
                </c:pt>
                <c:pt idx="24">
                  <c:v>0.11635272156481553</c:v>
                </c:pt>
              </c:numCache>
            </c:numRef>
          </c:xVal>
          <c:yVal>
            <c:numRef>
              <c:f>'3-SNR-Chan SE vs Range'!$E$47:$E$71</c:f>
              <c:numCache>
                <c:formatCode>0.000</c:formatCode>
                <c:ptCount val="25"/>
                <c:pt idx="0">
                  <c:v>5.3708517405524008</c:v>
                </c:pt>
                <c:pt idx="1">
                  <c:v>5.8192190228829395</c:v>
                </c:pt>
                <c:pt idx="2">
                  <c:v>6.3023764492541536</c:v>
                </c:pt>
                <c:pt idx="3">
                  <c:v>6.8510949973250517</c:v>
                </c:pt>
                <c:pt idx="4">
                  <c:v>7.4598025064713056</c:v>
                </c:pt>
                <c:pt idx="5">
                  <c:v>8.1587215592692601</c:v>
                </c:pt>
                <c:pt idx="6">
                  <c:v>8.9669371312815098</c:v>
                </c:pt>
                <c:pt idx="7">
                  <c:v>9.9089071713894246</c:v>
                </c:pt>
                <c:pt idx="8">
                  <c:v>10.933565855485243</c:v>
                </c:pt>
                <c:pt idx="9">
                  <c:v>12.144436256879557</c:v>
                </c:pt>
                <c:pt idx="10">
                  <c:v>13.591117932276626</c:v>
                </c:pt>
                <c:pt idx="11">
                  <c:v>15.341177656983302</c:v>
                </c:pt>
                <c:pt idx="12">
                  <c:v>17.206575898518043</c:v>
                </c:pt>
                <c:pt idx="13">
                  <c:v>19.506439777711456</c:v>
                </c:pt>
                <c:pt idx="14">
                  <c:v>22.396394593434259</c:v>
                </c:pt>
                <c:pt idx="15">
                  <c:v>26.111057790719407</c:v>
                </c:pt>
                <c:pt idx="16">
                  <c:v>30.433445424462953</c:v>
                </c:pt>
                <c:pt idx="17">
                  <c:v>35.507419154087813</c:v>
                </c:pt>
                <c:pt idx="18">
                  <c:v>42.473574035476368</c:v>
                </c:pt>
                <c:pt idx="19">
                  <c:v>52.564436001885674</c:v>
                </c:pt>
                <c:pt idx="20">
                  <c:v>64.524975020068567</c:v>
                </c:pt>
                <c:pt idx="21">
                  <c:v>83.880263196570596</c:v>
                </c:pt>
                <c:pt idx="22">
                  <c:v>110.12306184223532</c:v>
                </c:pt>
                <c:pt idx="23">
                  <c:v>142.15594462863601</c:v>
                </c:pt>
              </c:numCache>
            </c:numRef>
          </c:yVal>
          <c:smooth val="1"/>
        </c:ser>
        <c:axId val="123837440"/>
        <c:axId val="123470976"/>
      </c:scatterChart>
      <c:valAx>
        <c:axId val="123837440"/>
        <c:scaling>
          <c:orientation val="minMax"/>
        </c:scaling>
        <c:axPos val="b"/>
        <c:majorGridlines/>
        <c:title>
          <c:tx>
            <c:rich>
              <a:bodyPr/>
              <a:lstStyle/>
              <a:p>
                <a:pPr>
                  <a:defRPr/>
                </a:pPr>
                <a:r>
                  <a:rPr lang="en-US"/>
                  <a:t>Path Length in km</a:t>
                </a:r>
              </a:p>
            </c:rich>
          </c:tx>
        </c:title>
        <c:numFmt formatCode="0.0" sourceLinked="0"/>
        <c:tickLblPos val="nextTo"/>
        <c:crossAx val="123470976"/>
        <c:crossesAt val="1.0000000000000005E-2"/>
        <c:crossBetween val="midCat"/>
      </c:valAx>
      <c:valAx>
        <c:axId val="123470976"/>
        <c:scaling>
          <c:logBase val="10"/>
          <c:orientation val="minMax"/>
          <c:min val="1.0000000000000005E-2"/>
        </c:scaling>
        <c:axPos val="l"/>
        <c:majorGridlines/>
        <c:title>
          <c:tx>
            <c:rich>
              <a:bodyPr rot="-5400000" vert="horz"/>
              <a:lstStyle/>
              <a:p>
                <a:pPr>
                  <a:defRPr/>
                </a:pPr>
                <a:r>
                  <a:rPr lang="en-US"/>
                  <a:t>SE Density (bps/Hz/sq-km)</a:t>
                </a:r>
              </a:p>
            </c:rich>
          </c:tx>
        </c:title>
        <c:numFmt formatCode="0.00" sourceLinked="0"/>
        <c:tickLblPos val="nextTo"/>
        <c:crossAx val="123837440"/>
        <c:crosses val="autoZero"/>
        <c:crossBetween val="midCat"/>
      </c:valAx>
    </c:plotArea>
    <c:legend>
      <c:legendPos val="r"/>
    </c:legend>
    <c:plotVisOnly val="1"/>
  </c:chart>
  <c:printSettings>
    <c:headerFooter/>
    <c:pageMargins b="0.75000000000001321" l="0.70000000000000062" r="0.70000000000000062" t="0.75000000000001321"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SNR vs Path Length</a:t>
            </a:r>
            <a:br>
              <a:rPr lang="en-US"/>
            </a:br>
            <a:r>
              <a:rPr lang="en-US" sz="1400"/>
              <a:t>Hata-Okumura</a:t>
            </a:r>
            <a:r>
              <a:rPr lang="en-US" sz="1400" baseline="0"/>
              <a:t> Path Loss Model</a:t>
            </a:r>
            <a:endParaRPr lang="en-US"/>
          </a:p>
        </c:rich>
      </c:tx>
    </c:title>
    <c:plotArea>
      <c:layout/>
      <c:scatterChart>
        <c:scatterStyle val="smoothMarker"/>
        <c:ser>
          <c:idx val="0"/>
          <c:order val="0"/>
          <c:tx>
            <c:strRef>
              <c:f>'3-SNR-Chan SE vs Range'!$B$74</c:f>
              <c:strCache>
                <c:ptCount val="1"/>
                <c:pt idx="0">
                  <c:v>Large City Urban</c:v>
                </c:pt>
              </c:strCache>
            </c:strRef>
          </c:tx>
          <c:marker>
            <c:symbol val="none"/>
          </c:marker>
          <c:xVal>
            <c:strRef>
              <c:f>'3-SNR-Chan SE vs Range'!$B$76:$B$101</c:f>
              <c:strCache>
                <c:ptCount val="26"/>
                <c:pt idx="0">
                  <c:v>n/a</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0.05</c:v>
                </c:pt>
              </c:strCache>
            </c:strRef>
          </c:xVal>
          <c:yVal>
            <c:numRef>
              <c:f>'3-SNR-Chan SE vs Range'!$C$76:$C$101</c:f>
              <c:numCache>
                <c:formatCode>0.00</c:formatCode>
                <c:ptCount val="26"/>
                <c:pt idx="0">
                  <c:v>5.7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yVal>
          <c:smooth val="1"/>
        </c:ser>
        <c:ser>
          <c:idx val="1"/>
          <c:order val="1"/>
          <c:tx>
            <c:strRef>
              <c:f>'3-SNR-Chan SE vs Range'!$H$74</c:f>
              <c:strCache>
                <c:ptCount val="1"/>
                <c:pt idx="0">
                  <c:v>Small City Urban</c:v>
                </c:pt>
              </c:strCache>
            </c:strRef>
          </c:tx>
          <c:marker>
            <c:symbol val="none"/>
          </c:marker>
          <c:xVal>
            <c:strRef>
              <c:f>'3-SNR-Chan SE vs Range'!$H$76:$H$101</c:f>
              <c:strCache>
                <c:ptCount val="26"/>
                <c:pt idx="0">
                  <c:v>n/a</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0.05</c:v>
                </c:pt>
              </c:strCache>
            </c:strRef>
          </c:xVal>
          <c:yVal>
            <c:numRef>
              <c:f>'3-SNR-Chan SE vs Range'!$I$76:$I$101</c:f>
              <c:numCache>
                <c:formatCode>0.00</c:formatCode>
                <c:ptCount val="26"/>
                <c:pt idx="0">
                  <c:v>5.7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yVal>
          <c:smooth val="1"/>
        </c:ser>
        <c:ser>
          <c:idx val="2"/>
          <c:order val="2"/>
          <c:tx>
            <c:strRef>
              <c:f>'3-SNR-Chan SE vs Range'!$N$74</c:f>
              <c:strCache>
                <c:ptCount val="1"/>
                <c:pt idx="0">
                  <c:v>Suburban</c:v>
                </c:pt>
              </c:strCache>
            </c:strRef>
          </c:tx>
          <c:marker>
            <c:symbol val="none"/>
          </c:marker>
          <c:xVal>
            <c:strRef>
              <c:f>'3-SNR-Chan SE vs Range'!$N$76:$N$101</c:f>
              <c:strCache>
                <c:ptCount val="26"/>
                <c:pt idx="0">
                  <c:v>n/a</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0.05</c:v>
                </c:pt>
              </c:strCache>
            </c:strRef>
          </c:xVal>
          <c:yVal>
            <c:numRef>
              <c:f>'3-SNR-Chan SE vs Range'!$O$76:$O$101</c:f>
              <c:numCache>
                <c:formatCode>0.00</c:formatCode>
                <c:ptCount val="26"/>
                <c:pt idx="0">
                  <c:v>5.7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yVal>
          <c:smooth val="1"/>
        </c:ser>
        <c:axId val="123492992"/>
        <c:axId val="123527936"/>
      </c:scatterChart>
      <c:valAx>
        <c:axId val="123492992"/>
        <c:scaling>
          <c:orientation val="minMax"/>
        </c:scaling>
        <c:axPos val="b"/>
        <c:majorGridlines/>
        <c:title>
          <c:tx>
            <c:rich>
              <a:bodyPr/>
              <a:lstStyle/>
              <a:p>
                <a:pPr>
                  <a:defRPr/>
                </a:pPr>
                <a:r>
                  <a:rPr lang="en-US"/>
                  <a:t>Path Length in km</a:t>
                </a:r>
              </a:p>
            </c:rich>
          </c:tx>
        </c:title>
        <c:numFmt formatCode="#,##0.0" sourceLinked="0"/>
        <c:tickLblPos val="nextTo"/>
        <c:crossAx val="123527936"/>
        <c:crosses val="autoZero"/>
        <c:crossBetween val="midCat"/>
      </c:valAx>
      <c:valAx>
        <c:axId val="123527936"/>
        <c:scaling>
          <c:orientation val="minMax"/>
          <c:max val="25"/>
        </c:scaling>
        <c:axPos val="l"/>
        <c:majorGridlines/>
        <c:title>
          <c:tx>
            <c:rich>
              <a:bodyPr rot="-5400000" vert="horz"/>
              <a:lstStyle/>
              <a:p>
                <a:pPr>
                  <a:defRPr/>
                </a:pPr>
                <a:r>
                  <a:rPr lang="en-US"/>
                  <a:t>Relative SnR in dB</a:t>
                </a:r>
              </a:p>
            </c:rich>
          </c:tx>
        </c:title>
        <c:numFmt formatCode="0" sourceLinked="0"/>
        <c:minorTickMark val="cross"/>
        <c:tickLblPos val="nextTo"/>
        <c:crossAx val="123492992"/>
        <c:crosses val="autoZero"/>
        <c:crossBetween val="midCat"/>
      </c:valAx>
    </c:plotArea>
    <c:legend>
      <c:legendPos val="r"/>
    </c:legend>
    <c:plotVisOnly val="1"/>
  </c:chart>
  <c:printSettings>
    <c:headerFooter/>
    <c:pageMargins b="0.75000000000001366" l="0.70000000000000062" r="0.70000000000000062" t="0.75000000000001366"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SNR vs Path Length</a:t>
            </a:r>
            <a:br>
              <a:rPr lang="en-US"/>
            </a:br>
            <a:r>
              <a:rPr lang="en-US" sz="1400"/>
              <a:t>ITU-R M.2135-1 Path Loss Model</a:t>
            </a:r>
            <a:endParaRPr lang="en-US"/>
          </a:p>
        </c:rich>
      </c:tx>
    </c:title>
    <c:plotArea>
      <c:layout/>
      <c:scatterChart>
        <c:scatterStyle val="smoothMarker"/>
        <c:ser>
          <c:idx val="2"/>
          <c:order val="0"/>
          <c:tx>
            <c:strRef>
              <c:f>'3-SNR-Chan SE vs Range'!$B$164</c:f>
              <c:strCache>
                <c:ptCount val="1"/>
                <c:pt idx="0">
                  <c:v>Large City Urban</c:v>
                </c:pt>
              </c:strCache>
            </c:strRef>
          </c:tx>
          <c:marker>
            <c:symbol val="none"/>
          </c:marker>
          <c:xVal>
            <c:strRef>
              <c:f>'3-SNR-Chan SE vs Range'!$B$166:$B$191</c:f>
              <c:strCache>
                <c:ptCount val="26"/>
                <c:pt idx="0">
                  <c:v>n/a</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0.05</c:v>
                </c:pt>
              </c:strCache>
            </c:strRef>
          </c:xVal>
          <c:yVal>
            <c:numRef>
              <c:f>'3-SNR-Chan SE vs Range'!$C$166:$C$191</c:f>
              <c:numCache>
                <c:formatCode>0.00</c:formatCode>
                <c:ptCount val="26"/>
                <c:pt idx="0">
                  <c:v>5.7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yVal>
          <c:smooth val="1"/>
        </c:ser>
        <c:ser>
          <c:idx val="1"/>
          <c:order val="1"/>
          <c:tx>
            <c:strRef>
              <c:f>'3-SNR-Chan SE vs Range'!$H$164</c:f>
              <c:strCache>
                <c:ptCount val="1"/>
                <c:pt idx="0">
                  <c:v>Small City Urban</c:v>
                </c:pt>
              </c:strCache>
            </c:strRef>
          </c:tx>
          <c:marker>
            <c:symbol val="none"/>
          </c:marker>
          <c:xVal>
            <c:strRef>
              <c:f>'3-SNR-Chan SE vs Range'!$H$166:$H$191</c:f>
              <c:strCache>
                <c:ptCount val="26"/>
                <c:pt idx="0">
                  <c:v>n/a</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0.05</c:v>
                </c:pt>
              </c:strCache>
            </c:strRef>
          </c:xVal>
          <c:yVal>
            <c:numRef>
              <c:f>'3-SNR-Chan SE vs Range'!$I$166:$I$191</c:f>
              <c:numCache>
                <c:formatCode>0.00</c:formatCode>
                <c:ptCount val="26"/>
                <c:pt idx="0">
                  <c:v>5.7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yVal>
          <c:smooth val="1"/>
        </c:ser>
        <c:ser>
          <c:idx val="0"/>
          <c:order val="2"/>
          <c:tx>
            <c:strRef>
              <c:f>'3-SNR-Chan SE vs Range'!$N$164</c:f>
              <c:strCache>
                <c:ptCount val="1"/>
                <c:pt idx="0">
                  <c:v>Suburban</c:v>
                </c:pt>
              </c:strCache>
            </c:strRef>
          </c:tx>
          <c:marker>
            <c:symbol val="none"/>
          </c:marker>
          <c:xVal>
            <c:strRef>
              <c:f>'3-SNR-Chan SE vs Range'!$N$166:$N$191</c:f>
              <c:strCache>
                <c:ptCount val="26"/>
                <c:pt idx="0">
                  <c:v>n/a</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0.05</c:v>
                </c:pt>
              </c:strCache>
            </c:strRef>
          </c:xVal>
          <c:yVal>
            <c:numRef>
              <c:f>'3-SNR-Chan SE vs Range'!$O$166:$O$191</c:f>
              <c:numCache>
                <c:formatCode>0.00</c:formatCode>
                <c:ptCount val="26"/>
                <c:pt idx="0">
                  <c:v>5.7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yVal>
          <c:smooth val="1"/>
        </c:ser>
        <c:ser>
          <c:idx val="3"/>
          <c:order val="3"/>
          <c:tx>
            <c:strRef>
              <c:f>'3-SNR-Chan SE vs Range'!$T$164</c:f>
              <c:strCache>
                <c:ptCount val="1"/>
                <c:pt idx="0">
                  <c:v>Rural</c:v>
                </c:pt>
              </c:strCache>
            </c:strRef>
          </c:tx>
          <c:marker>
            <c:symbol val="none"/>
          </c:marker>
          <c:xVal>
            <c:strRef>
              <c:f>'3-SNR-Chan SE vs Range'!$T$166:$T$191</c:f>
              <c:strCache>
                <c:ptCount val="26"/>
                <c:pt idx="0">
                  <c:v>n/a</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0.05</c:v>
                </c:pt>
              </c:strCache>
            </c:strRef>
          </c:xVal>
          <c:yVal>
            <c:numRef>
              <c:f>'3-SNR-Chan SE vs Range'!$U$166:$U$191</c:f>
              <c:numCache>
                <c:formatCode>0.00</c:formatCode>
                <c:ptCount val="26"/>
                <c:pt idx="0">
                  <c:v>5.7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yVal>
          <c:smooth val="1"/>
        </c:ser>
        <c:axId val="123898880"/>
        <c:axId val="123913344"/>
      </c:scatterChart>
      <c:valAx>
        <c:axId val="123898880"/>
        <c:scaling>
          <c:orientation val="minMax"/>
        </c:scaling>
        <c:axPos val="b"/>
        <c:majorGridlines/>
        <c:title>
          <c:tx>
            <c:rich>
              <a:bodyPr/>
              <a:lstStyle/>
              <a:p>
                <a:pPr>
                  <a:defRPr/>
                </a:pPr>
                <a:r>
                  <a:rPr lang="en-US"/>
                  <a:t>Path Length in km</a:t>
                </a:r>
              </a:p>
            </c:rich>
          </c:tx>
        </c:title>
        <c:numFmt formatCode="#,##0.0" sourceLinked="0"/>
        <c:tickLblPos val="nextTo"/>
        <c:crossAx val="123913344"/>
        <c:crosses val="autoZero"/>
        <c:crossBetween val="midCat"/>
      </c:valAx>
      <c:valAx>
        <c:axId val="123913344"/>
        <c:scaling>
          <c:orientation val="minMax"/>
          <c:max val="25"/>
        </c:scaling>
        <c:axPos val="l"/>
        <c:majorGridlines/>
        <c:title>
          <c:tx>
            <c:rich>
              <a:bodyPr rot="-5400000" vert="horz"/>
              <a:lstStyle/>
              <a:p>
                <a:pPr>
                  <a:defRPr/>
                </a:pPr>
                <a:r>
                  <a:rPr lang="en-US"/>
                  <a:t>Relative SnR in dB</a:t>
                </a:r>
              </a:p>
            </c:rich>
          </c:tx>
        </c:title>
        <c:numFmt formatCode="0" sourceLinked="0"/>
        <c:minorTickMark val="cross"/>
        <c:tickLblPos val="nextTo"/>
        <c:crossAx val="123898880"/>
        <c:crosses val="autoZero"/>
        <c:crossBetween val="midCat"/>
      </c:valAx>
    </c:plotArea>
    <c:legend>
      <c:legendPos val="r"/>
    </c:legend>
    <c:plotVisOnly val="1"/>
  </c:chart>
  <c:printSettings>
    <c:headerFooter/>
    <c:pageMargins b="0.75000000000001366" l="0.70000000000000062" r="0.70000000000000062" t="0.75000000000001366"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UL SE Density</a:t>
            </a:r>
          </a:p>
          <a:p>
            <a:pPr>
              <a:defRPr/>
            </a:pPr>
            <a:r>
              <a:rPr lang="en-US" sz="1400"/>
              <a:t>ITU-R M.2135-1 Path Loss Model</a:t>
            </a:r>
          </a:p>
        </c:rich>
      </c:tx>
    </c:title>
    <c:plotArea>
      <c:layout/>
      <c:scatterChart>
        <c:scatterStyle val="smoothMarker"/>
        <c:ser>
          <c:idx val="0"/>
          <c:order val="0"/>
          <c:tx>
            <c:strRef>
              <c:f>'3-SNR-Chan SE vs Range'!$B$164</c:f>
              <c:strCache>
                <c:ptCount val="1"/>
                <c:pt idx="0">
                  <c:v>Large City Urban</c:v>
                </c:pt>
              </c:strCache>
            </c:strRef>
          </c:tx>
          <c:marker>
            <c:symbol val="none"/>
          </c:marker>
          <c:xVal>
            <c:numRef>
              <c:f>'3-SNR-Chan SE vs Range'!$B$167:$B$191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0.05</c:v>
                </c:pt>
              </c:numCache>
            </c:numRef>
          </c:xVal>
          <c:yVal>
            <c:numRef>
              <c:f>'3-SNR-Chan SE vs Range'!$E$167:$E$191</c:f>
              <c:numCache>
                <c:formatCode>0.000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yVal>
          <c:smooth val="1"/>
        </c:ser>
        <c:ser>
          <c:idx val="1"/>
          <c:order val="1"/>
          <c:tx>
            <c:strRef>
              <c:f>'3-SNR-Chan SE vs Range'!$H$164</c:f>
              <c:strCache>
                <c:ptCount val="1"/>
                <c:pt idx="0">
                  <c:v>Small City Urban</c:v>
                </c:pt>
              </c:strCache>
            </c:strRef>
          </c:tx>
          <c:marker>
            <c:symbol val="none"/>
          </c:marker>
          <c:xVal>
            <c:numRef>
              <c:f>'3-SNR-Chan SE vs Range'!$H$167:$H$191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0.05</c:v>
                </c:pt>
              </c:numCache>
            </c:numRef>
          </c:xVal>
          <c:yVal>
            <c:numRef>
              <c:f>'3-SNR-Chan SE vs Range'!$K$167:$K$190</c:f>
              <c:numCache>
                <c:formatCode>0.000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yVal>
          <c:smooth val="1"/>
        </c:ser>
        <c:ser>
          <c:idx val="2"/>
          <c:order val="2"/>
          <c:tx>
            <c:strRef>
              <c:f>'3-SNR-Chan SE vs Range'!$N$164</c:f>
              <c:strCache>
                <c:ptCount val="1"/>
                <c:pt idx="0">
                  <c:v>Suburban</c:v>
                </c:pt>
              </c:strCache>
            </c:strRef>
          </c:tx>
          <c:marker>
            <c:symbol val="none"/>
          </c:marker>
          <c:xVal>
            <c:numRef>
              <c:f>'3-SNR-Chan SE vs Range'!$N$167:$N$191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0.05</c:v>
                </c:pt>
              </c:numCache>
            </c:numRef>
          </c:xVal>
          <c:yVal>
            <c:numRef>
              <c:f>'3-SNR-Chan SE vs Range'!$Q$167:$Q$191</c:f>
              <c:numCache>
                <c:formatCode>0.000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yVal>
          <c:smooth val="1"/>
        </c:ser>
        <c:ser>
          <c:idx val="3"/>
          <c:order val="3"/>
          <c:tx>
            <c:strRef>
              <c:f>'3-SNR-Chan SE vs Range'!$T$164</c:f>
              <c:strCache>
                <c:ptCount val="1"/>
                <c:pt idx="0">
                  <c:v>Rural</c:v>
                </c:pt>
              </c:strCache>
            </c:strRef>
          </c:tx>
          <c:marker>
            <c:symbol val="none"/>
          </c:marker>
          <c:xVal>
            <c:numRef>
              <c:f>'3-SNR-Chan SE vs Range'!$T$167:$T$191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0.05</c:v>
                </c:pt>
              </c:numCache>
            </c:numRef>
          </c:xVal>
          <c:yVal>
            <c:numRef>
              <c:f>'3-SNR-Chan SE vs Range'!$W$167:$W$191</c:f>
              <c:numCache>
                <c:formatCode>0.000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yVal>
          <c:smooth val="1"/>
        </c:ser>
        <c:axId val="123957248"/>
        <c:axId val="123959168"/>
      </c:scatterChart>
      <c:valAx>
        <c:axId val="123957248"/>
        <c:scaling>
          <c:orientation val="minMax"/>
        </c:scaling>
        <c:axPos val="b"/>
        <c:title>
          <c:tx>
            <c:rich>
              <a:bodyPr/>
              <a:lstStyle/>
              <a:p>
                <a:pPr>
                  <a:defRPr/>
                </a:pPr>
                <a:r>
                  <a:rPr lang="en-US"/>
                  <a:t>Path Length in km</a:t>
                </a:r>
              </a:p>
            </c:rich>
          </c:tx>
        </c:title>
        <c:numFmt formatCode="0.0" sourceLinked="0"/>
        <c:tickLblPos val="nextTo"/>
        <c:crossAx val="123959168"/>
        <c:crossesAt val="1.0000000000000005E-2"/>
        <c:crossBetween val="midCat"/>
      </c:valAx>
      <c:valAx>
        <c:axId val="123959168"/>
        <c:scaling>
          <c:logBase val="10"/>
          <c:orientation val="minMax"/>
          <c:min val="1.0000000000000005E-2"/>
        </c:scaling>
        <c:axPos val="l"/>
        <c:majorGridlines/>
        <c:title>
          <c:tx>
            <c:rich>
              <a:bodyPr rot="-5400000" vert="horz"/>
              <a:lstStyle/>
              <a:p>
                <a:pPr>
                  <a:defRPr/>
                </a:pPr>
                <a:r>
                  <a:rPr lang="en-US"/>
                  <a:t>SE Density (bps/Hz/sq-km)</a:t>
                </a:r>
              </a:p>
            </c:rich>
          </c:tx>
        </c:title>
        <c:numFmt formatCode="0.00" sourceLinked="0"/>
        <c:tickLblPos val="nextTo"/>
        <c:crossAx val="123957248"/>
        <c:crosses val="autoZero"/>
        <c:crossBetween val="midCat"/>
      </c:valAx>
    </c:plotArea>
    <c:legend>
      <c:legendPos val="r"/>
    </c:legend>
    <c:plotVisOnly val="1"/>
  </c:chart>
  <c:printSettings>
    <c:headerFooter/>
    <c:pageMargins b="0.75000000000001343" l="0.70000000000000062" r="0.70000000000000062" t="0.750000000000013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SNR vs Coverage Area</a:t>
            </a:r>
            <a:br>
              <a:rPr lang="en-US"/>
            </a:br>
            <a:r>
              <a:rPr lang="en-US" sz="1400"/>
              <a:t>Erceg-SUI Modified Path Loss Model</a:t>
            </a:r>
            <a:endParaRPr lang="en-US"/>
          </a:p>
        </c:rich>
      </c:tx>
    </c:title>
    <c:plotArea>
      <c:layout/>
      <c:scatterChart>
        <c:scatterStyle val="lineMarker"/>
        <c:ser>
          <c:idx val="0"/>
          <c:order val="0"/>
          <c:tx>
            <c:strRef>
              <c:f>'2-SNR-Chan Cap vs Range'!$B$44</c:f>
              <c:strCache>
                <c:ptCount val="1"/>
                <c:pt idx="0">
                  <c:v>Type A</c:v>
                </c:pt>
              </c:strCache>
            </c:strRef>
          </c:tx>
          <c:marker>
            <c:symbol val="none"/>
          </c:marker>
          <c:xVal>
            <c:numRef>
              <c:f>'2-SNR-Chan Cap vs Range'!$F$46:$F$71</c:f>
              <c:numCache>
                <c:formatCode>0.00%</c:formatCode>
                <c:ptCount val="26"/>
                <c:pt idx="0">
                  <c:v>9.2209330156640151E-2</c:v>
                </c:pt>
                <c:pt idx="1">
                  <c:v>0.12852095695037455</c:v>
                </c:pt>
                <c:pt idx="2">
                  <c:v>0.164832583744109</c:v>
                </c:pt>
                <c:pt idx="3">
                  <c:v>0.2011442105378434</c:v>
                </c:pt>
                <c:pt idx="4">
                  <c:v>0.23745583733157782</c:v>
                </c:pt>
                <c:pt idx="5">
                  <c:v>0.27376746412531217</c:v>
                </c:pt>
                <c:pt idx="6">
                  <c:v>0.31007909091904667</c:v>
                </c:pt>
                <c:pt idx="7">
                  <c:v>0.34639071771278102</c:v>
                </c:pt>
                <c:pt idx="8">
                  <c:v>0.38270234450651541</c:v>
                </c:pt>
                <c:pt idx="9">
                  <c:v>0.41901397130024981</c:v>
                </c:pt>
                <c:pt idx="10">
                  <c:v>0.45532559809398421</c:v>
                </c:pt>
                <c:pt idx="11">
                  <c:v>0.49163722488771855</c:v>
                </c:pt>
                <c:pt idx="12">
                  <c:v>0.527948851681453</c:v>
                </c:pt>
                <c:pt idx="13">
                  <c:v>0.56426047847518745</c:v>
                </c:pt>
                <c:pt idx="14">
                  <c:v>0.60057210526892169</c:v>
                </c:pt>
                <c:pt idx="15">
                  <c:v>0.63688373206265614</c:v>
                </c:pt>
                <c:pt idx="16">
                  <c:v>0.67319535885639059</c:v>
                </c:pt>
                <c:pt idx="17">
                  <c:v>0.70950698565012493</c:v>
                </c:pt>
                <c:pt idx="18">
                  <c:v>0.74581861244385939</c:v>
                </c:pt>
                <c:pt idx="19">
                  <c:v>0.78213023923759384</c:v>
                </c:pt>
                <c:pt idx="20">
                  <c:v>0.81844186603132818</c:v>
                </c:pt>
                <c:pt idx="21">
                  <c:v>0.85475349282506274</c:v>
                </c:pt>
                <c:pt idx="22">
                  <c:v>0.8910651196187972</c:v>
                </c:pt>
                <c:pt idx="23">
                  <c:v>0.92737674641253154</c:v>
                </c:pt>
                <c:pt idx="24">
                  <c:v>0.96368837320626577</c:v>
                </c:pt>
                <c:pt idx="25">
                  <c:v>1</c:v>
                </c:pt>
              </c:numCache>
            </c:numRef>
          </c:xVal>
          <c:yVal>
            <c:numRef>
              <c:f>'2-SNR-Chan Cap vs Range'!$C$46:$C$71</c:f>
              <c:numCache>
                <c:formatCode>0.00</c:formatCode>
                <c:ptCount val="26"/>
                <c:pt idx="0">
                  <c:v>38.555457653671908</c:v>
                </c:pt>
                <c:pt idx="1">
                  <c:v>33.978939243089641</c:v>
                </c:pt>
                <c:pt idx="2">
                  <c:v>30.549095685541655</c:v>
                </c:pt>
                <c:pt idx="3">
                  <c:v>27.804929546245827</c:v>
                </c:pt>
                <c:pt idx="4">
                  <c:v>25.517439290897919</c:v>
                </c:pt>
                <c:pt idx="5">
                  <c:v>23.5560940698271</c:v>
                </c:pt>
                <c:pt idx="6">
                  <c:v>21.839392098701378</c:v>
                </c:pt>
                <c:pt idx="7">
                  <c:v>20.313016278909984</c:v>
                </c:pt>
                <c:pt idx="8">
                  <c:v>18.938945115062065</c:v>
                </c:pt>
                <c:pt idx="9">
                  <c:v>17.689522853972605</c:v>
                </c:pt>
                <c:pt idx="10">
                  <c:v>16.544003407044372</c:v>
                </c:pt>
                <c:pt idx="11">
                  <c:v>15.486424474750972</c:v>
                </c:pt>
                <c:pt idx="12">
                  <c:v>14.504241173286818</c:v>
                </c:pt>
                <c:pt idx="13">
                  <c:v>13.58741515417185</c:v>
                </c:pt>
                <c:pt idx="14">
                  <c:v>12.727788339690488</c:v>
                </c:pt>
                <c:pt idx="15">
                  <c:v>11.918640804270662</c:v>
                </c:pt>
                <c:pt idx="16">
                  <c:v>11.154371419783811</c:v>
                </c:pt>
                <c:pt idx="17">
                  <c:v>10.430262502345487</c:v>
                </c:pt>
                <c:pt idx="18">
                  <c:v>9.7423032661318967</c:v>
                </c:pt>
                <c:pt idx="19">
                  <c:v>9.0870552875668658</c:v>
                </c:pt>
                <c:pt idx="20">
                  <c:v>8.4615485269052897</c:v>
                </c:pt>
                <c:pt idx="21">
                  <c:v>7.8631999391908831</c:v>
                </c:pt>
                <c:pt idx="22">
                  <c:v>7.2897490299358845</c:v>
                </c:pt>
                <c:pt idx="23">
                  <c:v>6.7392062908589132</c:v>
                </c:pt>
                <c:pt idx="24">
                  <c:v>6.2098115449484146</c:v>
                </c:pt>
                <c:pt idx="25">
                  <c:v>5.7</c:v>
                </c:pt>
              </c:numCache>
            </c:numRef>
          </c:yVal>
        </c:ser>
        <c:ser>
          <c:idx val="1"/>
          <c:order val="1"/>
          <c:tx>
            <c:strRef>
              <c:f>'2-SNR-Chan Cap vs Range'!$G$44</c:f>
              <c:strCache>
                <c:ptCount val="1"/>
                <c:pt idx="0">
                  <c:v>Type B</c:v>
                </c:pt>
              </c:strCache>
            </c:strRef>
          </c:tx>
          <c:marker>
            <c:symbol val="none"/>
          </c:marker>
          <c:xVal>
            <c:numRef>
              <c:f>'2-SNR-Chan Cap vs Range'!$K$46:$K$71</c:f>
              <c:numCache>
                <c:formatCode>0.00%</c:formatCode>
                <c:ptCount val="26"/>
                <c:pt idx="0">
                  <c:v>8.0287647986027111E-2</c:v>
                </c:pt>
                <c:pt idx="1">
                  <c:v>0.11707614206658604</c:v>
                </c:pt>
                <c:pt idx="2">
                  <c:v>0.15386463614714499</c:v>
                </c:pt>
                <c:pt idx="3">
                  <c:v>0.19065313022770389</c:v>
                </c:pt>
                <c:pt idx="4">
                  <c:v>0.22744162430826281</c:v>
                </c:pt>
                <c:pt idx="5">
                  <c:v>0.26423011838882166</c:v>
                </c:pt>
                <c:pt idx="6">
                  <c:v>0.3010186124693805</c:v>
                </c:pt>
                <c:pt idx="7">
                  <c:v>0.33780710654993945</c:v>
                </c:pt>
                <c:pt idx="8">
                  <c:v>0.3745956006304984</c:v>
                </c:pt>
                <c:pt idx="9">
                  <c:v>0.4113840947110573</c:v>
                </c:pt>
                <c:pt idx="10">
                  <c:v>0.44817258879161626</c:v>
                </c:pt>
                <c:pt idx="11">
                  <c:v>0.4849610828721751</c:v>
                </c:pt>
                <c:pt idx="12">
                  <c:v>0.52174957695273405</c:v>
                </c:pt>
                <c:pt idx="13">
                  <c:v>0.55853807103329312</c:v>
                </c:pt>
                <c:pt idx="14">
                  <c:v>0.59532656511385207</c:v>
                </c:pt>
                <c:pt idx="15">
                  <c:v>0.63211505919441102</c:v>
                </c:pt>
                <c:pt idx="16">
                  <c:v>0.66890355327496998</c:v>
                </c:pt>
                <c:pt idx="17">
                  <c:v>0.70569204735552882</c:v>
                </c:pt>
                <c:pt idx="18">
                  <c:v>0.74248054143608788</c:v>
                </c:pt>
                <c:pt idx="19">
                  <c:v>0.77926903551664672</c:v>
                </c:pt>
                <c:pt idx="20">
                  <c:v>0.81605752959720579</c:v>
                </c:pt>
                <c:pt idx="21">
                  <c:v>0.85284602367776485</c:v>
                </c:pt>
                <c:pt idx="22">
                  <c:v>0.88963451775832381</c:v>
                </c:pt>
                <c:pt idx="23">
                  <c:v>0.92642301183888276</c:v>
                </c:pt>
                <c:pt idx="24">
                  <c:v>0.96321150591944182</c:v>
                </c:pt>
                <c:pt idx="25">
                  <c:v>1</c:v>
                </c:pt>
              </c:numCache>
            </c:numRef>
          </c:xVal>
          <c:yVal>
            <c:numRef>
              <c:f>'2-SNR-Chan Cap vs Range'!$H$46:$H$71</c:f>
              <c:numCache>
                <c:formatCode>0.00</c:formatCode>
                <c:ptCount val="26"/>
                <c:pt idx="0">
                  <c:v>40.736766178998764</c:v>
                </c:pt>
                <c:pt idx="1">
                  <c:v>35.496701580093671</c:v>
                </c:pt>
                <c:pt idx="2">
                  <c:v>31.700816566537075</c:v>
                </c:pt>
                <c:pt idx="3">
                  <c:v>28.722682854331381</c:v>
                </c:pt>
                <c:pt idx="4">
                  <c:v>26.271663151033337</c:v>
                </c:pt>
                <c:pt idx="5">
                  <c:v>24.188927689962647</c:v>
                </c:pt>
                <c:pt idx="6">
                  <c:v>22.378122797731187</c:v>
                </c:pt>
                <c:pt idx="7">
                  <c:v>20.776370679734352</c:v>
                </c:pt>
                <c:pt idx="8">
                  <c:v>19.340359412849701</c:v>
                </c:pt>
                <c:pt idx="9">
                  <c:v>18.038982664586868</c:v>
                </c:pt>
                <c:pt idx="10">
                  <c:v>16.849144798704767</c:v>
                </c:pt>
                <c:pt idx="11">
                  <c:v>15.753226400611435</c:v>
                </c:pt>
                <c:pt idx="12">
                  <c:v>14.73747908430343</c:v>
                </c:pt>
                <c:pt idx="13">
                  <c:v>13.790968497225215</c:v>
                </c:pt>
                <c:pt idx="14">
                  <c:v>12.904855154812735</c:v>
                </c:pt>
                <c:pt idx="15">
                  <c:v>12.071891283509483</c:v>
                </c:pt>
                <c:pt idx="16">
                  <c:v>11.286060208406603</c:v>
                </c:pt>
                <c:pt idx="17">
                  <c:v>10.542312413551549</c:v>
                </c:pt>
                <c:pt idx="18">
                  <c:v>9.8363687520435938</c:v>
                </c:pt>
                <c:pt idx="19">
                  <c:v>9.1645712941832844</c:v>
                </c:pt>
                <c:pt idx="20">
                  <c:v>8.523768611975342</c:v>
                </c:pt>
                <c:pt idx="21">
                  <c:v>7.9112263787810093</c:v>
                </c:pt>
                <c:pt idx="22">
                  <c:v>7.3245568627510158</c:v>
                </c:pt>
                <c:pt idx="23">
                  <c:v>6.7616627161372813</c:v>
                </c:pt>
                <c:pt idx="24">
                  <c:v>6.220691717267834</c:v>
                </c:pt>
                <c:pt idx="25">
                  <c:v>5.7</c:v>
                </c:pt>
              </c:numCache>
            </c:numRef>
          </c:yVal>
        </c:ser>
        <c:ser>
          <c:idx val="2"/>
          <c:order val="2"/>
          <c:tx>
            <c:strRef>
              <c:f>'2-SNR-Chan Cap vs Range'!$L$44</c:f>
              <c:strCache>
                <c:ptCount val="1"/>
                <c:pt idx="0">
                  <c:v>Type C</c:v>
                </c:pt>
              </c:strCache>
            </c:strRef>
          </c:tx>
          <c:marker>
            <c:symbol val="none"/>
          </c:marker>
          <c:xVal>
            <c:numRef>
              <c:f>'2-SNR-Chan Cap vs Range'!$P$46:$P$71</c:f>
              <c:numCache>
                <c:formatCode>0.00%</c:formatCode>
                <c:ptCount val="26"/>
                <c:pt idx="0">
                  <c:v>8.0373320929365777E-2</c:v>
                </c:pt>
                <c:pt idx="1">
                  <c:v>0.11715838809219113</c:v>
                </c:pt>
                <c:pt idx="2">
                  <c:v>0.15394345525501649</c:v>
                </c:pt>
                <c:pt idx="3">
                  <c:v>0.19072852241784183</c:v>
                </c:pt>
                <c:pt idx="4">
                  <c:v>0.2275135895806672</c:v>
                </c:pt>
                <c:pt idx="5">
                  <c:v>0.26429865674349257</c:v>
                </c:pt>
                <c:pt idx="6">
                  <c:v>0.30108372390631799</c:v>
                </c:pt>
                <c:pt idx="7">
                  <c:v>0.33786879106914336</c:v>
                </c:pt>
                <c:pt idx="8">
                  <c:v>0.37465385823196867</c:v>
                </c:pt>
                <c:pt idx="9">
                  <c:v>0.4114389253947941</c:v>
                </c:pt>
                <c:pt idx="10">
                  <c:v>0.44822399255761947</c:v>
                </c:pt>
                <c:pt idx="11">
                  <c:v>0.48500905972044484</c:v>
                </c:pt>
                <c:pt idx="12">
                  <c:v>0.52179412688327031</c:v>
                </c:pt>
                <c:pt idx="13">
                  <c:v>0.55857919404609579</c:v>
                </c:pt>
                <c:pt idx="14">
                  <c:v>0.59536426120892116</c:v>
                </c:pt>
                <c:pt idx="15">
                  <c:v>0.63214932837174653</c:v>
                </c:pt>
                <c:pt idx="16">
                  <c:v>0.66893439553457201</c:v>
                </c:pt>
                <c:pt idx="17">
                  <c:v>0.70571946269739738</c:v>
                </c:pt>
                <c:pt idx="18">
                  <c:v>0.74250452986022286</c:v>
                </c:pt>
                <c:pt idx="19">
                  <c:v>0.77928959702304812</c:v>
                </c:pt>
                <c:pt idx="20">
                  <c:v>0.8160746641858736</c:v>
                </c:pt>
                <c:pt idx="21">
                  <c:v>0.85285973134869886</c:v>
                </c:pt>
                <c:pt idx="22">
                  <c:v>0.88964479851152423</c:v>
                </c:pt>
                <c:pt idx="23">
                  <c:v>0.92642986567434948</c:v>
                </c:pt>
                <c:pt idx="24">
                  <c:v>0.96321493283717496</c:v>
                </c:pt>
                <c:pt idx="25">
                  <c:v>1</c:v>
                </c:pt>
              </c:numCache>
            </c:numRef>
          </c:xVal>
          <c:yVal>
            <c:numRef>
              <c:f>'2-SNR-Chan Cap vs Range'!$M$46:$M$71</c:f>
              <c:numCache>
                <c:formatCode>0.00</c:formatCode>
                <c:ptCount val="26"/>
                <c:pt idx="0">
                  <c:v>40.857638529216658</c:v>
                </c:pt>
                <c:pt idx="1">
                  <c:v>35.602351677396143</c:v>
                </c:pt>
                <c:pt idx="2">
                  <c:v>31.794411359164918</c:v>
                </c:pt>
                <c:pt idx="3">
                  <c:v>28.806367650641729</c:v>
                </c:pt>
                <c:pt idx="4">
                  <c:v>26.346953511267895</c:v>
                </c:pt>
                <c:pt idx="5">
                  <c:v>24.256943755250408</c:v>
                </c:pt>
                <c:pt idx="6">
                  <c:v>22.439723840817194</c:v>
                </c:pt>
                <c:pt idx="7">
                  <c:v>20.83223582848629</c:v>
                </c:pt>
                <c:pt idx="8">
                  <c:v>19.391038526797743</c:v>
                </c:pt>
                <c:pt idx="9">
                  <c:v>18.084929840218372</c:v>
                </c:pt>
                <c:pt idx="10">
                  <c:v>16.890741278801077</c:v>
                </c:pt>
                <c:pt idx="11">
                  <c:v>15.79079674633601</c:v>
                </c:pt>
                <c:pt idx="12">
                  <c:v>14.771302906566902</c:v>
                </c:pt>
                <c:pt idx="13">
                  <c:v>13.821289168498961</c:v>
                </c:pt>
                <c:pt idx="14">
                  <c:v>12.931886411481708</c:v>
                </c:pt>
                <c:pt idx="15">
                  <c:v>12.095822319325645</c:v>
                </c:pt>
                <c:pt idx="16">
                  <c:v>11.30705966595783</c:v>
                </c:pt>
                <c:pt idx="17">
                  <c:v>10.560531555975475</c:v>
                </c:pt>
                <c:pt idx="18">
                  <c:v>9.8519440148497264</c:v>
                </c:pt>
                <c:pt idx="19">
                  <c:v>9.1776263613768911</c:v>
                </c:pt>
                <c:pt idx="20">
                  <c:v>8.5344161222680963</c:v>
                </c:pt>
                <c:pt idx="21">
                  <c:v>7.9195693406782777</c:v>
                </c:pt>
                <c:pt idx="22">
                  <c:v>7.3306898380104863</c:v>
                </c:pt>
                <c:pt idx="23">
                  <c:v>6.7656728170896763</c:v>
                </c:pt>
                <c:pt idx="24">
                  <c:v>6.2226594531832937</c:v>
                </c:pt>
                <c:pt idx="25">
                  <c:v>5.7</c:v>
                </c:pt>
              </c:numCache>
            </c:numRef>
          </c:yVal>
        </c:ser>
        <c:axId val="120740864"/>
        <c:axId val="120763520"/>
      </c:scatterChart>
      <c:valAx>
        <c:axId val="120740864"/>
        <c:scaling>
          <c:orientation val="minMax"/>
          <c:max val="1"/>
        </c:scaling>
        <c:axPos val="b"/>
        <c:majorGridlines/>
        <c:minorGridlines/>
        <c:title>
          <c:tx>
            <c:rich>
              <a:bodyPr/>
              <a:lstStyle/>
              <a:p>
                <a:pPr>
                  <a:defRPr/>
                </a:pPr>
                <a:r>
                  <a:rPr lang="en-US"/>
                  <a:t>Per Cent of Coverage Area</a:t>
                </a:r>
              </a:p>
            </c:rich>
          </c:tx>
        </c:title>
        <c:numFmt formatCode="0%" sourceLinked="0"/>
        <c:tickLblPos val="nextTo"/>
        <c:crossAx val="120763520"/>
        <c:crosses val="autoZero"/>
        <c:crossBetween val="midCat"/>
        <c:minorUnit val="0.1"/>
      </c:valAx>
      <c:valAx>
        <c:axId val="120763520"/>
        <c:scaling>
          <c:orientation val="minMax"/>
          <c:max val="25"/>
        </c:scaling>
        <c:axPos val="l"/>
        <c:majorGridlines/>
        <c:title>
          <c:tx>
            <c:rich>
              <a:bodyPr rot="-5400000" vert="horz"/>
              <a:lstStyle/>
              <a:p>
                <a:pPr>
                  <a:defRPr/>
                </a:pPr>
                <a:r>
                  <a:rPr lang="en-US"/>
                  <a:t>Relative SnR in dB</a:t>
                </a:r>
              </a:p>
            </c:rich>
          </c:tx>
        </c:title>
        <c:numFmt formatCode="#,##0" sourceLinked="0"/>
        <c:minorTickMark val="cross"/>
        <c:tickLblPos val="nextTo"/>
        <c:crossAx val="120740864"/>
        <c:crosses val="autoZero"/>
        <c:crossBetween val="midCat"/>
      </c:valAx>
    </c:plotArea>
    <c:legend>
      <c:legendPos val="r"/>
    </c:legend>
    <c:plotVisOnly val="1"/>
  </c:chart>
  <c:printSettings>
    <c:headerFooter/>
    <c:pageMargins b="0.75000000000001343" l="0.70000000000000062" r="0.70000000000000062" t="0.7500000000000134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UL SE Density</a:t>
            </a:r>
          </a:p>
          <a:p>
            <a:pPr>
              <a:defRPr/>
            </a:pPr>
            <a:r>
              <a:rPr lang="en-US" sz="1400"/>
              <a:t>Hata-Okumura Path Loss Model</a:t>
            </a:r>
          </a:p>
        </c:rich>
      </c:tx>
    </c:title>
    <c:plotArea>
      <c:layout/>
      <c:scatterChart>
        <c:scatterStyle val="smoothMarker"/>
        <c:ser>
          <c:idx val="0"/>
          <c:order val="0"/>
          <c:tx>
            <c:strRef>
              <c:f>'3-SNR-Chan SE vs Range'!$B$74</c:f>
              <c:strCache>
                <c:ptCount val="1"/>
                <c:pt idx="0">
                  <c:v>Large City Urban</c:v>
                </c:pt>
              </c:strCache>
            </c:strRef>
          </c:tx>
          <c:marker>
            <c:symbol val="none"/>
          </c:marker>
          <c:xVal>
            <c:numRef>
              <c:f>'3-SNR-Chan SE vs Range'!$B$77:$B$101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0.05</c:v>
                </c:pt>
              </c:numCache>
            </c:numRef>
          </c:xVal>
          <c:yVal>
            <c:numRef>
              <c:f>'3-SNR-Chan SE vs Range'!$E$77:$E$101</c:f>
              <c:numCache>
                <c:formatCode>0.000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yVal>
          <c:smooth val="1"/>
        </c:ser>
        <c:ser>
          <c:idx val="1"/>
          <c:order val="1"/>
          <c:tx>
            <c:strRef>
              <c:f>'3-SNR-Chan SE vs Range'!$H$74</c:f>
              <c:strCache>
                <c:ptCount val="1"/>
                <c:pt idx="0">
                  <c:v>Small City Urban</c:v>
                </c:pt>
              </c:strCache>
            </c:strRef>
          </c:tx>
          <c:marker>
            <c:symbol val="none"/>
          </c:marker>
          <c:xVal>
            <c:numRef>
              <c:f>'3-SNR-Chan SE vs Range'!$H$77:$H$101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0.05</c:v>
                </c:pt>
              </c:numCache>
            </c:numRef>
          </c:xVal>
          <c:yVal>
            <c:numRef>
              <c:f>'3-SNR-Chan SE vs Range'!$K$77:$K$101</c:f>
              <c:numCache>
                <c:formatCode>0.000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yVal>
          <c:smooth val="1"/>
        </c:ser>
        <c:ser>
          <c:idx val="2"/>
          <c:order val="2"/>
          <c:tx>
            <c:strRef>
              <c:f>'3-SNR-Chan SE vs Range'!$N$74</c:f>
              <c:strCache>
                <c:ptCount val="1"/>
                <c:pt idx="0">
                  <c:v>Suburban</c:v>
                </c:pt>
              </c:strCache>
            </c:strRef>
          </c:tx>
          <c:marker>
            <c:symbol val="none"/>
          </c:marker>
          <c:xVal>
            <c:numRef>
              <c:f>'3-SNR-Chan SE vs Range'!$N$77:$N$101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0.05</c:v>
                </c:pt>
              </c:numCache>
            </c:numRef>
          </c:xVal>
          <c:yVal>
            <c:numRef>
              <c:f>'3-SNR-Chan SE vs Range'!$Q$77:$Q$101</c:f>
              <c:numCache>
                <c:formatCode>0.000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yVal>
          <c:smooth val="1"/>
        </c:ser>
        <c:axId val="123976704"/>
        <c:axId val="124007552"/>
      </c:scatterChart>
      <c:valAx>
        <c:axId val="123976704"/>
        <c:scaling>
          <c:orientation val="minMax"/>
        </c:scaling>
        <c:axPos val="b"/>
        <c:majorGridlines/>
        <c:title>
          <c:tx>
            <c:rich>
              <a:bodyPr/>
              <a:lstStyle/>
              <a:p>
                <a:pPr>
                  <a:defRPr/>
                </a:pPr>
                <a:r>
                  <a:rPr lang="en-US"/>
                  <a:t>Path Length in km</a:t>
                </a:r>
              </a:p>
            </c:rich>
          </c:tx>
        </c:title>
        <c:numFmt formatCode="0.0" sourceLinked="0"/>
        <c:tickLblPos val="nextTo"/>
        <c:crossAx val="124007552"/>
        <c:crossesAt val="1.0000000000000005E-2"/>
        <c:crossBetween val="midCat"/>
      </c:valAx>
      <c:valAx>
        <c:axId val="124007552"/>
        <c:scaling>
          <c:logBase val="10"/>
          <c:orientation val="minMax"/>
          <c:min val="1.0000000000000005E-2"/>
        </c:scaling>
        <c:axPos val="l"/>
        <c:majorGridlines/>
        <c:title>
          <c:tx>
            <c:rich>
              <a:bodyPr rot="-5400000" vert="horz"/>
              <a:lstStyle/>
              <a:p>
                <a:pPr>
                  <a:defRPr/>
                </a:pPr>
                <a:r>
                  <a:rPr lang="en-US"/>
                  <a:t>SE Density (bps/Hz/sq-km)</a:t>
                </a:r>
              </a:p>
            </c:rich>
          </c:tx>
        </c:title>
        <c:numFmt formatCode="0.00" sourceLinked="0"/>
        <c:tickLblPos val="nextTo"/>
        <c:crossAx val="123976704"/>
        <c:crosses val="autoZero"/>
        <c:crossBetween val="midCat"/>
      </c:valAx>
    </c:plotArea>
    <c:legend>
      <c:legendPos val="r"/>
    </c:legend>
    <c:plotVisOnly val="1"/>
  </c:chart>
  <c:printSettings>
    <c:headerFooter/>
    <c:pageMargins b="0.75000000000001343" l="0.70000000000000062" r="0.70000000000000062" t="0.75000000000001343"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SNR vs Path Length</a:t>
            </a:r>
            <a:br>
              <a:rPr lang="en-US"/>
            </a:br>
            <a:r>
              <a:rPr lang="en-US" sz="1400"/>
              <a:t>COST231-Hata </a:t>
            </a:r>
            <a:r>
              <a:rPr lang="en-US" sz="1400" baseline="0"/>
              <a:t>Path Loss Model</a:t>
            </a:r>
            <a:endParaRPr lang="en-US"/>
          </a:p>
        </c:rich>
      </c:tx>
    </c:title>
    <c:plotArea>
      <c:layout/>
      <c:scatterChart>
        <c:scatterStyle val="smoothMarker"/>
        <c:ser>
          <c:idx val="0"/>
          <c:order val="0"/>
          <c:tx>
            <c:strRef>
              <c:f>'3-SNR-Chan SE vs Range'!$B$104</c:f>
              <c:strCache>
                <c:ptCount val="1"/>
                <c:pt idx="0">
                  <c:v>Large City Urban</c:v>
                </c:pt>
              </c:strCache>
            </c:strRef>
          </c:tx>
          <c:marker>
            <c:symbol val="none"/>
          </c:marker>
          <c:xVal>
            <c:strRef>
              <c:f>'3-SNR-Chan SE vs Range'!$B$106:$B$131</c:f>
              <c:strCache>
                <c:ptCount val="26"/>
                <c:pt idx="0">
                  <c:v>n/a</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0.05</c:v>
                </c:pt>
              </c:strCache>
            </c:strRef>
          </c:xVal>
          <c:yVal>
            <c:numRef>
              <c:f>'3-SNR-Chan SE vs Range'!$C$106:$C$131</c:f>
              <c:numCache>
                <c:formatCode>0.00</c:formatCode>
                <c:ptCount val="26"/>
                <c:pt idx="0">
                  <c:v>5.7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yVal>
          <c:smooth val="1"/>
        </c:ser>
        <c:ser>
          <c:idx val="1"/>
          <c:order val="1"/>
          <c:tx>
            <c:strRef>
              <c:f>'3-SNR-Chan SE vs Range'!$H$104</c:f>
              <c:strCache>
                <c:ptCount val="1"/>
                <c:pt idx="0">
                  <c:v>Suburban</c:v>
                </c:pt>
              </c:strCache>
            </c:strRef>
          </c:tx>
          <c:marker>
            <c:symbol val="none"/>
          </c:marker>
          <c:xVal>
            <c:strRef>
              <c:f>'3-SNR-Chan SE vs Range'!$H$106:$H$131</c:f>
              <c:strCache>
                <c:ptCount val="26"/>
                <c:pt idx="0">
                  <c:v>n/a</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0.05</c:v>
                </c:pt>
              </c:strCache>
            </c:strRef>
          </c:xVal>
          <c:yVal>
            <c:numRef>
              <c:f>'3-SNR-Chan SE vs Range'!$I$106:$I$131</c:f>
              <c:numCache>
                <c:formatCode>0.00</c:formatCode>
                <c:ptCount val="26"/>
                <c:pt idx="0">
                  <c:v>5.7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yVal>
          <c:smooth val="1"/>
        </c:ser>
        <c:axId val="124058624"/>
        <c:axId val="124097664"/>
      </c:scatterChart>
      <c:valAx>
        <c:axId val="124058624"/>
        <c:scaling>
          <c:orientation val="minMax"/>
          <c:min val="0"/>
        </c:scaling>
        <c:axPos val="b"/>
        <c:majorGridlines/>
        <c:title>
          <c:tx>
            <c:rich>
              <a:bodyPr/>
              <a:lstStyle/>
              <a:p>
                <a:pPr>
                  <a:defRPr/>
                </a:pPr>
                <a:r>
                  <a:rPr lang="en-US"/>
                  <a:t>Path Length in km</a:t>
                </a:r>
              </a:p>
            </c:rich>
          </c:tx>
        </c:title>
        <c:numFmt formatCode="#,##0.0" sourceLinked="0"/>
        <c:tickLblPos val="nextTo"/>
        <c:crossAx val="124097664"/>
        <c:crosses val="autoZero"/>
        <c:crossBetween val="midCat"/>
      </c:valAx>
      <c:valAx>
        <c:axId val="124097664"/>
        <c:scaling>
          <c:orientation val="minMax"/>
          <c:max val="25"/>
        </c:scaling>
        <c:axPos val="l"/>
        <c:majorGridlines/>
        <c:title>
          <c:tx>
            <c:rich>
              <a:bodyPr rot="-5400000" vert="horz"/>
              <a:lstStyle/>
              <a:p>
                <a:pPr>
                  <a:defRPr/>
                </a:pPr>
                <a:r>
                  <a:rPr lang="en-US"/>
                  <a:t>Relative SnR in dB</a:t>
                </a:r>
              </a:p>
            </c:rich>
          </c:tx>
        </c:title>
        <c:numFmt formatCode="0" sourceLinked="0"/>
        <c:minorTickMark val="cross"/>
        <c:tickLblPos val="nextTo"/>
        <c:crossAx val="124058624"/>
        <c:crosses val="autoZero"/>
        <c:crossBetween val="midCat"/>
      </c:valAx>
    </c:plotArea>
    <c:legend>
      <c:legendPos val="r"/>
    </c:legend>
    <c:plotVisOnly val="1"/>
  </c:chart>
  <c:printSettings>
    <c:headerFooter/>
    <c:pageMargins b="0.75000000000001388" l="0.70000000000000062" r="0.70000000000000062" t="0.75000000000001388"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UL SE Density</a:t>
            </a:r>
          </a:p>
          <a:p>
            <a:pPr>
              <a:defRPr/>
            </a:pPr>
            <a:r>
              <a:rPr lang="en-US" sz="1400"/>
              <a:t>COST-231 Path Loss Model</a:t>
            </a:r>
          </a:p>
        </c:rich>
      </c:tx>
    </c:title>
    <c:plotArea>
      <c:layout/>
      <c:scatterChart>
        <c:scatterStyle val="smoothMarker"/>
        <c:ser>
          <c:idx val="0"/>
          <c:order val="0"/>
          <c:tx>
            <c:strRef>
              <c:f>'3-SNR-Chan SE vs Range'!$B$104</c:f>
              <c:strCache>
                <c:ptCount val="1"/>
                <c:pt idx="0">
                  <c:v>Large City Urban</c:v>
                </c:pt>
              </c:strCache>
            </c:strRef>
          </c:tx>
          <c:marker>
            <c:symbol val="none"/>
          </c:marker>
          <c:xVal>
            <c:numRef>
              <c:f>'3-SNR-Chan SE vs Range'!$B$107:$B$131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0.05</c:v>
                </c:pt>
              </c:numCache>
            </c:numRef>
          </c:xVal>
          <c:yVal>
            <c:numRef>
              <c:f>'3-SNR-Chan SE vs Range'!$E$107:$E$131</c:f>
              <c:numCache>
                <c:formatCode>0.000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yVal>
          <c:smooth val="1"/>
        </c:ser>
        <c:ser>
          <c:idx val="1"/>
          <c:order val="1"/>
          <c:tx>
            <c:strRef>
              <c:f>'3-SNR-Chan SE vs Range'!$H$104</c:f>
              <c:strCache>
                <c:ptCount val="1"/>
                <c:pt idx="0">
                  <c:v>Suburban</c:v>
                </c:pt>
              </c:strCache>
            </c:strRef>
          </c:tx>
          <c:marker>
            <c:symbol val="none"/>
          </c:marker>
          <c:xVal>
            <c:numRef>
              <c:f>'3-SNR-Chan SE vs Range'!$H$107:$H$131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0.05</c:v>
                </c:pt>
              </c:numCache>
            </c:numRef>
          </c:xVal>
          <c:yVal>
            <c:numRef>
              <c:f>'3-SNR-Chan SE vs Range'!$K$107:$K$131</c:f>
              <c:numCache>
                <c:formatCode>0.000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yVal>
          <c:smooth val="1"/>
        </c:ser>
        <c:axId val="124127104"/>
        <c:axId val="124137472"/>
      </c:scatterChart>
      <c:valAx>
        <c:axId val="124127104"/>
        <c:scaling>
          <c:orientation val="minMax"/>
        </c:scaling>
        <c:axPos val="b"/>
        <c:majorGridlines/>
        <c:title>
          <c:tx>
            <c:rich>
              <a:bodyPr/>
              <a:lstStyle/>
              <a:p>
                <a:pPr>
                  <a:defRPr/>
                </a:pPr>
                <a:r>
                  <a:rPr lang="en-US"/>
                  <a:t>Path Length in km</a:t>
                </a:r>
              </a:p>
            </c:rich>
          </c:tx>
        </c:title>
        <c:numFmt formatCode="0.0" sourceLinked="0"/>
        <c:tickLblPos val="nextTo"/>
        <c:crossAx val="124137472"/>
        <c:crossesAt val="1.0000000000000005E-2"/>
        <c:crossBetween val="midCat"/>
      </c:valAx>
      <c:valAx>
        <c:axId val="124137472"/>
        <c:scaling>
          <c:logBase val="10"/>
          <c:orientation val="minMax"/>
          <c:min val="1.0000000000000005E-2"/>
        </c:scaling>
        <c:axPos val="l"/>
        <c:majorGridlines/>
        <c:title>
          <c:tx>
            <c:rich>
              <a:bodyPr rot="-5400000" vert="horz"/>
              <a:lstStyle/>
              <a:p>
                <a:pPr>
                  <a:defRPr/>
                </a:pPr>
                <a:r>
                  <a:rPr lang="en-US"/>
                  <a:t>SE Density (bps/Hz/sq)</a:t>
                </a:r>
              </a:p>
            </c:rich>
          </c:tx>
        </c:title>
        <c:numFmt formatCode="0.00" sourceLinked="0"/>
        <c:tickLblPos val="nextTo"/>
        <c:crossAx val="124127104"/>
        <c:crosses val="autoZero"/>
        <c:crossBetween val="midCat"/>
      </c:valAx>
    </c:plotArea>
    <c:legend>
      <c:legendPos val="r"/>
    </c:legend>
    <c:plotVisOnly val="1"/>
  </c:chart>
  <c:printSettings>
    <c:headerFooter/>
    <c:pageMargins b="0.75000000000001366" l="0.70000000000000062" r="0.70000000000000062" t="0.75000000000001366"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SNR vs Path Length</a:t>
            </a:r>
            <a:br>
              <a:rPr lang="en-US"/>
            </a:br>
            <a:r>
              <a:rPr lang="en-US" sz="1400"/>
              <a:t>WINNER II </a:t>
            </a:r>
            <a:r>
              <a:rPr lang="en-US" sz="1400" baseline="0"/>
              <a:t>Path Loss Model</a:t>
            </a:r>
            <a:endParaRPr lang="en-US"/>
          </a:p>
        </c:rich>
      </c:tx>
    </c:title>
    <c:plotArea>
      <c:layout/>
      <c:scatterChart>
        <c:scatterStyle val="smoothMarker"/>
        <c:ser>
          <c:idx val="0"/>
          <c:order val="0"/>
          <c:tx>
            <c:strRef>
              <c:f>'3-SNR-Chan SE vs Range'!$B$134</c:f>
              <c:strCache>
                <c:ptCount val="1"/>
                <c:pt idx="0">
                  <c:v>Large City Urban</c:v>
                </c:pt>
              </c:strCache>
            </c:strRef>
          </c:tx>
          <c:marker>
            <c:symbol val="none"/>
          </c:marker>
          <c:xVal>
            <c:strRef>
              <c:f>'3-SNR-Chan SE vs Range'!$B$136:$B$161</c:f>
              <c:strCache>
                <c:ptCount val="26"/>
                <c:pt idx="0">
                  <c:v>n/a</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0.05</c:v>
                </c:pt>
              </c:strCache>
            </c:strRef>
          </c:xVal>
          <c:yVal>
            <c:numRef>
              <c:f>'3-SNR-Chan SE vs Range'!$C$136:$C$161</c:f>
              <c:numCache>
                <c:formatCode>0.00</c:formatCode>
                <c:ptCount val="26"/>
                <c:pt idx="0">
                  <c:v>5.7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yVal>
          <c:smooth val="1"/>
        </c:ser>
        <c:ser>
          <c:idx val="1"/>
          <c:order val="1"/>
          <c:tx>
            <c:strRef>
              <c:f>'3-SNR-Chan SE vs Range'!$H$134</c:f>
              <c:strCache>
                <c:ptCount val="1"/>
                <c:pt idx="0">
                  <c:v>Suburban</c:v>
                </c:pt>
              </c:strCache>
            </c:strRef>
          </c:tx>
          <c:marker>
            <c:symbol val="none"/>
          </c:marker>
          <c:xVal>
            <c:strRef>
              <c:f>'3-SNR-Chan SE vs Range'!$H$136:$H$161</c:f>
              <c:strCache>
                <c:ptCount val="26"/>
                <c:pt idx="0">
                  <c:v>n/a</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0.05</c:v>
                </c:pt>
              </c:strCache>
            </c:strRef>
          </c:xVal>
          <c:yVal>
            <c:numRef>
              <c:f>'3-SNR-Chan SE vs Range'!$I$136:$I$161</c:f>
              <c:numCache>
                <c:formatCode>0.00</c:formatCode>
                <c:ptCount val="26"/>
                <c:pt idx="0">
                  <c:v>5.7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yVal>
          <c:smooth val="1"/>
        </c:ser>
        <c:ser>
          <c:idx val="2"/>
          <c:order val="2"/>
          <c:tx>
            <c:strRef>
              <c:f>'3-SNR-Chan SE vs Range'!$N$134</c:f>
              <c:strCache>
                <c:ptCount val="1"/>
                <c:pt idx="0">
                  <c:v>Rural Open</c:v>
                </c:pt>
              </c:strCache>
            </c:strRef>
          </c:tx>
          <c:marker>
            <c:symbol val="none"/>
          </c:marker>
          <c:xVal>
            <c:strRef>
              <c:f>'3-SNR-Chan SE vs Range'!$N$136:$N$161</c:f>
              <c:strCache>
                <c:ptCount val="26"/>
                <c:pt idx="0">
                  <c:v>n/a</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0.05</c:v>
                </c:pt>
              </c:strCache>
            </c:strRef>
          </c:xVal>
          <c:yVal>
            <c:numRef>
              <c:f>'3-SNR-Chan SE vs Range'!$O$136:$O$161</c:f>
              <c:numCache>
                <c:formatCode>0.00</c:formatCode>
                <c:ptCount val="26"/>
                <c:pt idx="0">
                  <c:v>5.7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yVal>
          <c:smooth val="1"/>
        </c:ser>
        <c:axId val="124188544"/>
        <c:axId val="124198912"/>
      </c:scatterChart>
      <c:valAx>
        <c:axId val="124188544"/>
        <c:scaling>
          <c:orientation val="minMax"/>
          <c:min val="0"/>
        </c:scaling>
        <c:axPos val="b"/>
        <c:majorGridlines/>
        <c:title>
          <c:tx>
            <c:rich>
              <a:bodyPr/>
              <a:lstStyle/>
              <a:p>
                <a:pPr>
                  <a:defRPr/>
                </a:pPr>
                <a:r>
                  <a:rPr lang="en-US"/>
                  <a:t>Path Length in km</a:t>
                </a:r>
              </a:p>
            </c:rich>
          </c:tx>
        </c:title>
        <c:numFmt formatCode="#,##0.0" sourceLinked="0"/>
        <c:tickLblPos val="nextTo"/>
        <c:crossAx val="124198912"/>
        <c:crosses val="autoZero"/>
        <c:crossBetween val="midCat"/>
        <c:minorUnit val="0.5"/>
      </c:valAx>
      <c:valAx>
        <c:axId val="124198912"/>
        <c:scaling>
          <c:orientation val="minMax"/>
          <c:max val="25"/>
        </c:scaling>
        <c:axPos val="l"/>
        <c:majorGridlines/>
        <c:title>
          <c:tx>
            <c:rich>
              <a:bodyPr rot="-5400000" vert="horz"/>
              <a:lstStyle/>
              <a:p>
                <a:pPr>
                  <a:defRPr/>
                </a:pPr>
                <a:r>
                  <a:rPr lang="en-US"/>
                  <a:t>Relative SnR in dB</a:t>
                </a:r>
              </a:p>
            </c:rich>
          </c:tx>
        </c:title>
        <c:numFmt formatCode="0" sourceLinked="0"/>
        <c:minorTickMark val="cross"/>
        <c:tickLblPos val="nextTo"/>
        <c:crossAx val="124188544"/>
        <c:crosses val="autoZero"/>
        <c:crossBetween val="midCat"/>
      </c:valAx>
    </c:plotArea>
    <c:legend>
      <c:legendPos val="r"/>
    </c:legend>
    <c:plotVisOnly val="1"/>
  </c:chart>
  <c:printSettings>
    <c:headerFooter/>
    <c:pageMargins b="0.7500000000000141" l="0.70000000000000062" r="0.70000000000000062" t="0.7500000000000141"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UL SE Density</a:t>
            </a:r>
          </a:p>
          <a:p>
            <a:pPr>
              <a:defRPr/>
            </a:pPr>
            <a:r>
              <a:rPr lang="en-US" sz="1400"/>
              <a:t>WINNER II Path Loss Model</a:t>
            </a:r>
          </a:p>
        </c:rich>
      </c:tx>
    </c:title>
    <c:plotArea>
      <c:layout/>
      <c:scatterChart>
        <c:scatterStyle val="smoothMarker"/>
        <c:ser>
          <c:idx val="0"/>
          <c:order val="0"/>
          <c:tx>
            <c:strRef>
              <c:f>'3-SNR-Chan SE vs Range'!$B$134</c:f>
              <c:strCache>
                <c:ptCount val="1"/>
                <c:pt idx="0">
                  <c:v>Large City Urban</c:v>
                </c:pt>
              </c:strCache>
            </c:strRef>
          </c:tx>
          <c:marker>
            <c:symbol val="none"/>
          </c:marker>
          <c:xVal>
            <c:numRef>
              <c:f>'3-SNR-Chan SE vs Range'!$B$137:$B$161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0.05</c:v>
                </c:pt>
              </c:numCache>
            </c:numRef>
          </c:xVal>
          <c:yVal>
            <c:numRef>
              <c:f>'3-SNR-Chan SE vs Range'!$E$137:$E$161</c:f>
              <c:numCache>
                <c:formatCode>0.000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yVal>
          <c:smooth val="1"/>
        </c:ser>
        <c:ser>
          <c:idx val="1"/>
          <c:order val="1"/>
          <c:tx>
            <c:strRef>
              <c:f>'3-SNR-Chan SE vs Range'!$H$134</c:f>
              <c:strCache>
                <c:ptCount val="1"/>
                <c:pt idx="0">
                  <c:v>Suburban</c:v>
                </c:pt>
              </c:strCache>
            </c:strRef>
          </c:tx>
          <c:marker>
            <c:symbol val="none"/>
          </c:marker>
          <c:xVal>
            <c:numRef>
              <c:f>'3-SNR-Chan SE vs Range'!$H$137:$H$161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0.05</c:v>
                </c:pt>
              </c:numCache>
            </c:numRef>
          </c:xVal>
          <c:yVal>
            <c:numRef>
              <c:f>'3-SNR-Chan SE vs Range'!$K$137:$K$161</c:f>
              <c:numCache>
                <c:formatCode>0.000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yVal>
          <c:smooth val="1"/>
        </c:ser>
        <c:ser>
          <c:idx val="2"/>
          <c:order val="2"/>
          <c:tx>
            <c:strRef>
              <c:f>'3-SNR-Chan SE vs Range'!$N$134</c:f>
              <c:strCache>
                <c:ptCount val="1"/>
                <c:pt idx="0">
                  <c:v>Rural Open</c:v>
                </c:pt>
              </c:strCache>
            </c:strRef>
          </c:tx>
          <c:marker>
            <c:symbol val="none"/>
          </c:marker>
          <c:xVal>
            <c:numRef>
              <c:f>'3-SNR-Chan SE vs Range'!$N$137:$N$161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0.05</c:v>
                </c:pt>
              </c:numCache>
            </c:numRef>
          </c:xVal>
          <c:yVal>
            <c:numRef>
              <c:f>'3-SNR-Chan SE vs Range'!$Q$137:$Q$161</c:f>
              <c:numCache>
                <c:formatCode>0.000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yVal>
          <c:smooth val="1"/>
        </c:ser>
        <c:axId val="124217216"/>
        <c:axId val="124243968"/>
      </c:scatterChart>
      <c:valAx>
        <c:axId val="124217216"/>
        <c:scaling>
          <c:orientation val="minMax"/>
          <c:min val="0"/>
        </c:scaling>
        <c:axPos val="b"/>
        <c:majorGridlines/>
        <c:title>
          <c:tx>
            <c:rich>
              <a:bodyPr/>
              <a:lstStyle/>
              <a:p>
                <a:pPr>
                  <a:defRPr/>
                </a:pPr>
                <a:r>
                  <a:rPr lang="en-US"/>
                  <a:t>Path Length in km</a:t>
                </a:r>
              </a:p>
            </c:rich>
          </c:tx>
        </c:title>
        <c:numFmt formatCode="0.0" sourceLinked="0"/>
        <c:tickLblPos val="nextTo"/>
        <c:crossAx val="124243968"/>
        <c:crossesAt val="1.0000000000000005E-2"/>
        <c:crossBetween val="midCat"/>
        <c:minorUnit val="0.5"/>
      </c:valAx>
      <c:valAx>
        <c:axId val="124243968"/>
        <c:scaling>
          <c:logBase val="10"/>
          <c:orientation val="minMax"/>
          <c:min val="1.0000000000000005E-2"/>
        </c:scaling>
        <c:axPos val="l"/>
        <c:majorGridlines/>
        <c:title>
          <c:tx>
            <c:rich>
              <a:bodyPr rot="-5400000" vert="horz"/>
              <a:lstStyle/>
              <a:p>
                <a:pPr>
                  <a:defRPr/>
                </a:pPr>
                <a:r>
                  <a:rPr lang="en-US"/>
                  <a:t>SE Density (bps/Hz/sq-km)</a:t>
                </a:r>
              </a:p>
            </c:rich>
          </c:tx>
        </c:title>
        <c:numFmt formatCode="0.00" sourceLinked="0"/>
        <c:tickLblPos val="nextTo"/>
        <c:crossAx val="124217216"/>
        <c:crosses val="autoZero"/>
        <c:crossBetween val="midCat"/>
      </c:valAx>
    </c:plotArea>
    <c:legend>
      <c:legendPos val="r"/>
    </c:legend>
    <c:plotVisOnly val="1"/>
  </c:chart>
  <c:printSettings>
    <c:headerFooter/>
    <c:pageMargins b="0.75000000000001388" l="0.70000000000000062" r="0.70000000000000062" t="0.750000000000013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UL Channel Capacity</a:t>
            </a:r>
          </a:p>
          <a:p>
            <a:pPr>
              <a:defRPr/>
            </a:pPr>
            <a:r>
              <a:rPr lang="en-US" sz="1400"/>
              <a:t>Erceg-SUI Modified Path</a:t>
            </a:r>
            <a:r>
              <a:rPr lang="en-US" sz="1400" baseline="0"/>
              <a:t> Loss Model</a:t>
            </a:r>
            <a:endParaRPr lang="en-US" sz="1400"/>
          </a:p>
        </c:rich>
      </c:tx>
    </c:title>
    <c:plotArea>
      <c:layout/>
      <c:scatterChart>
        <c:scatterStyle val="lineMarker"/>
        <c:ser>
          <c:idx val="0"/>
          <c:order val="0"/>
          <c:tx>
            <c:strRef>
              <c:f>'2-SNR-Chan Cap vs Range'!$L$44</c:f>
              <c:strCache>
                <c:ptCount val="1"/>
                <c:pt idx="0">
                  <c:v>Type C</c:v>
                </c:pt>
              </c:strCache>
            </c:strRef>
          </c:tx>
          <c:marker>
            <c:symbol val="none"/>
          </c:marker>
          <c:xVal>
            <c:numRef>
              <c:f>'2-SNR-Chan Cap vs Range'!$L$47:$L$71</c:f>
              <c:numCache>
                <c:formatCode>0.00</c:formatCode>
                <c:ptCount val="25"/>
                <c:pt idx="0">
                  <c:v>0.12073431913847252</c:v>
                </c:pt>
                <c:pt idx="1">
                  <c:v>0.13839635701730396</c:v>
                </c:pt>
                <c:pt idx="2">
                  <c:v>0.15404651068262334</c:v>
                </c:pt>
                <c:pt idx="3">
                  <c:v>0.1682471493705677</c:v>
                </c:pt>
                <c:pt idx="4">
                  <c:v>0.18133912729786875</c:v>
                </c:pt>
                <c:pt idx="5">
                  <c:v>0.19354755205629232</c:v>
                </c:pt>
                <c:pt idx="6">
                  <c:v>0.20503031659931104</c:v>
                </c:pt>
                <c:pt idx="7">
                  <c:v>0.21590323421070895</c:v>
                </c:pt>
                <c:pt idx="8">
                  <c:v>0.22625424274579864</c:v>
                </c:pt>
                <c:pt idx="9">
                  <c:v>0.23615198110180086</c:v>
                </c:pt>
                <c:pt idx="10">
                  <c:v>0.24565124464601404</c:v>
                </c:pt>
                <c:pt idx="11">
                  <c:v>0.2547966047928551</c:v>
                </c:pt>
                <c:pt idx="12">
                  <c:v>0.26362489569802949</c:v>
                </c:pt>
                <c:pt idx="13">
                  <c:v>0.27216697347332108</c:v>
                </c:pt>
                <c:pt idx="14">
                  <c:v>0.28044899227392134</c:v>
                </c:pt>
                <c:pt idx="15">
                  <c:v>0.2884933501578304</c:v>
                </c:pt>
                <c:pt idx="16">
                  <c:v>0.29631940352113134</c:v>
                </c:pt>
                <c:pt idx="17">
                  <c:v>0.30394401576762392</c:v>
                </c:pt>
                <c:pt idx="18">
                  <c:v>0.31138198492973246</c:v>
                </c:pt>
                <c:pt idx="19">
                  <c:v>0.31864638136437495</c:v>
                </c:pt>
                <c:pt idx="20">
                  <c:v>0.32574881761019669</c:v>
                </c:pt>
                <c:pt idx="21">
                  <c:v>0.33269966635431381</c:v>
                </c:pt>
                <c:pt idx="22">
                  <c:v>0.33950823820653048</c:v>
                </c:pt>
                <c:pt idx="23">
                  <c:v>0.34618292798451628</c:v>
                </c:pt>
                <c:pt idx="24">
                  <c:v>0.35273133607005103</c:v>
                </c:pt>
              </c:numCache>
            </c:numRef>
          </c:xVal>
          <c:yVal>
            <c:numRef>
              <c:f>'2-SNR-Chan Cap vs Range'!$O$47:$O$71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yVal>
        </c:ser>
        <c:ser>
          <c:idx val="1"/>
          <c:order val="1"/>
          <c:tx>
            <c:strRef>
              <c:f>'2-SNR-Chan Cap vs Range'!$G$44</c:f>
              <c:strCache>
                <c:ptCount val="1"/>
                <c:pt idx="0">
                  <c:v>Type B</c:v>
                </c:pt>
              </c:strCache>
            </c:strRef>
          </c:tx>
          <c:marker>
            <c:symbol val="none"/>
          </c:marker>
          <c:xVal>
            <c:numRef>
              <c:f>'2-SNR-Chan Cap vs Range'!$G$47:$G$71</c:f>
              <c:numCache>
                <c:formatCode>0.00</c:formatCode>
                <c:ptCount val="25"/>
                <c:pt idx="0">
                  <c:v>0.12075631002548436</c:v>
                </c:pt>
                <c:pt idx="1">
                  <c:v>0.13843472404690157</c:v>
                </c:pt>
                <c:pt idx="2">
                  <c:v>0.15409821294522749</c:v>
                </c:pt>
                <c:pt idx="3">
                  <c:v>0.1683102660085937</c:v>
                </c:pt>
                <c:pt idx="4">
                  <c:v>0.18141232608302682</c:v>
                </c:pt>
                <c:pt idx="5">
                  <c:v>0.19362984910861583</c:v>
                </c:pt>
                <c:pt idx="6">
                  <c:v>0.20512095182305543</c:v>
                </c:pt>
                <c:pt idx="7">
                  <c:v>0.21600160019723724</c:v>
                </c:pt>
                <c:pt idx="8">
                  <c:v>0.22635984117934438</c:v>
                </c:pt>
                <c:pt idx="9">
                  <c:v>0.23626439450266074</c:v>
                </c:pt>
                <c:pt idx="10">
                  <c:v>0.24577011722477529</c:v>
                </c:pt>
                <c:pt idx="11">
                  <c:v>0.25492162899928811</c:v>
                </c:pt>
                <c:pt idx="12">
                  <c:v>0.2637558024814271</c:v>
                </c:pt>
                <c:pt idx="13">
                  <c:v>0.27230352504804722</c:v>
                </c:pt>
                <c:pt idx="14">
                  <c:v>0.28059097662712423</c:v>
                </c:pt>
                <c:pt idx="15">
                  <c:v>0.28864057680016902</c:v>
                </c:pt>
                <c:pt idx="16">
                  <c:v>0.29647170014439012</c:v>
                </c:pt>
                <c:pt idx="17">
                  <c:v>0.30410122557707009</c:v>
                </c:pt>
                <c:pt idx="18">
                  <c:v>0.31154396448727256</c:v>
                </c:pt>
                <c:pt idx="19">
                  <c:v>0.31881299882441722</c:v>
                </c:pt>
                <c:pt idx="20">
                  <c:v>0.32591995126163842</c:v>
                </c:pt>
                <c:pt idx="21">
                  <c:v>0.33287520340415816</c:v>
                </c:pt>
                <c:pt idx="22">
                  <c:v>0.33968807375639576</c:v>
                </c:pt>
                <c:pt idx="23">
                  <c:v>0.34636696416272361</c:v>
                </c:pt>
                <c:pt idx="24">
                  <c:v>0.35291948129038198</c:v>
                </c:pt>
              </c:numCache>
            </c:numRef>
          </c:xVal>
          <c:yVal>
            <c:numRef>
              <c:f>'2-SNR-Chan Cap vs Range'!$J$47:$J$71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yVal>
        </c:ser>
        <c:ser>
          <c:idx val="2"/>
          <c:order val="2"/>
          <c:tx>
            <c:strRef>
              <c:f>'2-SNR-Chan Cap vs Range'!$B$44</c:f>
              <c:strCache>
                <c:ptCount val="1"/>
                <c:pt idx="0">
                  <c:v>Type A</c:v>
                </c:pt>
              </c:strCache>
            </c:strRef>
          </c:tx>
          <c:marker>
            <c:symbol val="none"/>
          </c:marker>
          <c:xVal>
            <c:numRef>
              <c:f>'2-SNR-Chan Cap vs Range'!$B$46:$B$71</c:f>
              <c:numCache>
                <c:formatCode>0.00</c:formatCode>
                <c:ptCount val="26"/>
                <c:pt idx="0">
                  <c:v>0.1</c:v>
                </c:pt>
                <c:pt idx="1">
                  <c:v>0.11805912000154632</c:v>
                </c:pt>
                <c:pt idx="2">
                  <c:v>0.13370082883467488</c:v>
                </c:pt>
                <c:pt idx="3">
                  <c:v>0.14769518423638106</c:v>
                </c:pt>
                <c:pt idx="4">
                  <c:v>0.16047374633303124</c:v>
                </c:pt>
                <c:pt idx="5">
                  <c:v>0.17230722294116857</c:v>
                </c:pt>
                <c:pt idx="6">
                  <c:v>0.18337866531643501</c:v>
                </c:pt>
                <c:pt idx="7">
                  <c:v>0.19381870577623977</c:v>
                </c:pt>
                <c:pt idx="8">
                  <c:v>0.20372443771996551</c:v>
                </c:pt>
                <c:pt idx="9">
                  <c:v>0.2131703598999064</c:v>
                </c:pt>
                <c:pt idx="10">
                  <c:v>0.22221511684715586</c:v>
                </c:pt>
                <c:pt idx="11">
                  <c:v>0.23090585521145765</c:v>
                </c:pt>
                <c:pt idx="12">
                  <c:v>0.23928115217558227</c:v>
                </c:pt>
                <c:pt idx="13">
                  <c:v>0.24737304946580918</c:v>
                </c:pt>
                <c:pt idx="14">
                  <c:v>0.25520850577038606</c:v>
                </c:pt>
                <c:pt idx="15">
                  <c:v>0.26281045875895559</c:v>
                </c:pt>
                <c:pt idx="16">
                  <c:v>0.27019861777705712</c:v>
                </c:pt>
                <c:pt idx="17">
                  <c:v>0.27739006626801133</c:v>
                </c:pt>
                <c:pt idx="18">
                  <c:v>0.28439972693325716</c:v>
                </c:pt>
                <c:pt idx="19">
                  <c:v>0.29124072602445344</c:v>
                </c:pt>
                <c:pt idx="20">
                  <c:v>0.29792468227857566</c:v>
                </c:pt>
                <c:pt idx="21">
                  <c:v>0.30446193871538324</c:v>
                </c:pt>
                <c:pt idx="22">
                  <c:v>0.31086175052886339</c:v>
                </c:pt>
                <c:pt idx="23">
                  <c:v>0.31713243882865216</c:v>
                </c:pt>
                <c:pt idx="24">
                  <c:v>0.32328151752450729</c:v>
                </c:pt>
                <c:pt idx="25">
                  <c:v>0.32931579887470902</c:v>
                </c:pt>
              </c:numCache>
            </c:numRef>
          </c:xVal>
          <c:yVal>
            <c:numRef>
              <c:f>'2-SNR-Chan Cap vs Range'!$E$47:$E$71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yVal>
        </c:ser>
        <c:axId val="121182848"/>
        <c:axId val="121197312"/>
      </c:scatterChart>
      <c:valAx>
        <c:axId val="121182848"/>
        <c:scaling>
          <c:orientation val="minMax"/>
        </c:scaling>
        <c:axPos val="b"/>
        <c:majorGridlines/>
        <c:title>
          <c:tx>
            <c:rich>
              <a:bodyPr/>
              <a:lstStyle/>
              <a:p>
                <a:pPr>
                  <a:defRPr/>
                </a:pPr>
                <a:r>
                  <a:rPr lang="en-US"/>
                  <a:t>Path Length in km</a:t>
                </a:r>
              </a:p>
            </c:rich>
          </c:tx>
        </c:title>
        <c:numFmt formatCode="0.0" sourceLinked="0"/>
        <c:tickLblPos val="nextTo"/>
        <c:crossAx val="121197312"/>
        <c:crosses val="autoZero"/>
        <c:crossBetween val="midCat"/>
      </c:valAx>
      <c:valAx>
        <c:axId val="121197312"/>
        <c:scaling>
          <c:orientation val="minMax"/>
        </c:scaling>
        <c:axPos val="l"/>
        <c:majorGridlines/>
        <c:title>
          <c:tx>
            <c:rich>
              <a:bodyPr rot="-5400000" vert="horz"/>
              <a:lstStyle/>
              <a:p>
                <a:pPr>
                  <a:defRPr/>
                </a:pPr>
                <a:r>
                  <a:rPr lang="en-US"/>
                  <a:t>Channel/Sector Capacity mbps</a:t>
                </a:r>
              </a:p>
            </c:rich>
          </c:tx>
        </c:title>
        <c:numFmt formatCode="0.0" sourceLinked="0"/>
        <c:tickLblPos val="nextTo"/>
        <c:crossAx val="121182848"/>
        <c:crosses val="autoZero"/>
        <c:crossBetween val="midCat"/>
      </c:valAx>
    </c:plotArea>
    <c:legend>
      <c:legendPos val="r"/>
    </c:legend>
    <c:plotVisOnly val="1"/>
  </c:chart>
  <c:printSettings>
    <c:headerFooter/>
    <c:pageMargins b="0.75000000000001299" l="0.70000000000000062" r="0.70000000000000062" t="0.750000000000012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SNR vs Path Length</a:t>
            </a:r>
            <a:br>
              <a:rPr lang="en-US"/>
            </a:br>
            <a:r>
              <a:rPr lang="en-US" sz="1400"/>
              <a:t>Hata-Okumura</a:t>
            </a:r>
            <a:r>
              <a:rPr lang="en-US" sz="1400" baseline="0"/>
              <a:t> Path Loss Model</a:t>
            </a:r>
            <a:endParaRPr lang="en-US"/>
          </a:p>
        </c:rich>
      </c:tx>
    </c:title>
    <c:plotArea>
      <c:layout/>
      <c:scatterChart>
        <c:scatterStyle val="smoothMarker"/>
        <c:ser>
          <c:idx val="0"/>
          <c:order val="0"/>
          <c:tx>
            <c:strRef>
              <c:f>'2-SNR-Chan Cap vs Range'!$B$74</c:f>
              <c:strCache>
                <c:ptCount val="1"/>
                <c:pt idx="0">
                  <c:v>Large City Urban</c:v>
                </c:pt>
              </c:strCache>
            </c:strRef>
          </c:tx>
          <c:marker>
            <c:symbol val="none"/>
          </c:marker>
          <c:xVal>
            <c:strRef>
              <c:f>'2-SNR-Chan Cap vs Range'!$B$76:$B$101</c:f>
              <c:strCache>
                <c:ptCount val="26"/>
                <c:pt idx="0">
                  <c:v>0.05</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n/a</c:v>
                </c:pt>
              </c:strCache>
            </c:strRef>
          </c:xVal>
          <c:yVal>
            <c:numRef>
              <c:f>'2-SNR-Chan Cap vs Range'!$C$76:$C$101</c:f>
              <c:numCache>
                <c:formatCode>0.00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5.7</c:v>
                </c:pt>
              </c:numCache>
            </c:numRef>
          </c:yVal>
          <c:smooth val="1"/>
        </c:ser>
        <c:ser>
          <c:idx val="1"/>
          <c:order val="1"/>
          <c:tx>
            <c:strRef>
              <c:f>'2-SNR-Chan Cap vs Range'!$G$74</c:f>
              <c:strCache>
                <c:ptCount val="1"/>
                <c:pt idx="0">
                  <c:v>Small City Urban</c:v>
                </c:pt>
              </c:strCache>
            </c:strRef>
          </c:tx>
          <c:marker>
            <c:symbol val="none"/>
          </c:marker>
          <c:xVal>
            <c:strRef>
              <c:f>'2-SNR-Chan Cap vs Range'!$G$76:$G$101</c:f>
              <c:strCache>
                <c:ptCount val="26"/>
                <c:pt idx="0">
                  <c:v>0.05</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n/a</c:v>
                </c:pt>
              </c:strCache>
            </c:strRef>
          </c:xVal>
          <c:yVal>
            <c:numRef>
              <c:f>'2-SNR-Chan Cap vs Range'!$H$76:$H$101</c:f>
              <c:numCache>
                <c:formatCode>0.00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5.7</c:v>
                </c:pt>
              </c:numCache>
            </c:numRef>
          </c:yVal>
          <c:smooth val="1"/>
        </c:ser>
        <c:ser>
          <c:idx val="2"/>
          <c:order val="2"/>
          <c:tx>
            <c:strRef>
              <c:f>'2-SNR-Chan Cap vs Range'!$L$74</c:f>
              <c:strCache>
                <c:ptCount val="1"/>
                <c:pt idx="0">
                  <c:v>Suburban</c:v>
                </c:pt>
              </c:strCache>
            </c:strRef>
          </c:tx>
          <c:marker>
            <c:symbol val="none"/>
          </c:marker>
          <c:xVal>
            <c:strRef>
              <c:f>'2-SNR-Chan Cap vs Range'!$L$76:$L$101</c:f>
              <c:strCache>
                <c:ptCount val="26"/>
                <c:pt idx="0">
                  <c:v>0.05</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n/a</c:v>
                </c:pt>
              </c:strCache>
            </c:strRef>
          </c:xVal>
          <c:yVal>
            <c:numRef>
              <c:f>'2-SNR-Chan Cap vs Range'!$M$76:$M$101</c:f>
              <c:numCache>
                <c:formatCode>0.00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5.7</c:v>
                </c:pt>
              </c:numCache>
            </c:numRef>
          </c:yVal>
          <c:smooth val="1"/>
        </c:ser>
        <c:axId val="121243904"/>
        <c:axId val="121262464"/>
      </c:scatterChart>
      <c:valAx>
        <c:axId val="121243904"/>
        <c:scaling>
          <c:orientation val="minMax"/>
        </c:scaling>
        <c:axPos val="b"/>
        <c:majorGridlines/>
        <c:title>
          <c:tx>
            <c:rich>
              <a:bodyPr/>
              <a:lstStyle/>
              <a:p>
                <a:pPr>
                  <a:defRPr/>
                </a:pPr>
                <a:r>
                  <a:rPr lang="en-US"/>
                  <a:t>Path Length in km</a:t>
                </a:r>
              </a:p>
            </c:rich>
          </c:tx>
        </c:title>
        <c:numFmt formatCode="#,##0.0" sourceLinked="0"/>
        <c:tickLblPos val="nextTo"/>
        <c:crossAx val="121262464"/>
        <c:crosses val="autoZero"/>
        <c:crossBetween val="midCat"/>
      </c:valAx>
      <c:valAx>
        <c:axId val="121262464"/>
        <c:scaling>
          <c:orientation val="minMax"/>
          <c:max val="25"/>
        </c:scaling>
        <c:axPos val="l"/>
        <c:majorGridlines/>
        <c:title>
          <c:tx>
            <c:rich>
              <a:bodyPr rot="-5400000" vert="horz"/>
              <a:lstStyle/>
              <a:p>
                <a:pPr>
                  <a:defRPr/>
                </a:pPr>
                <a:r>
                  <a:rPr lang="en-US"/>
                  <a:t>Relative SnR in dB</a:t>
                </a:r>
              </a:p>
            </c:rich>
          </c:tx>
        </c:title>
        <c:numFmt formatCode="0" sourceLinked="0"/>
        <c:minorTickMark val="cross"/>
        <c:tickLblPos val="nextTo"/>
        <c:crossAx val="121243904"/>
        <c:crosses val="autoZero"/>
        <c:crossBetween val="midCat"/>
      </c:valAx>
    </c:plotArea>
    <c:legend>
      <c:legendPos val="r"/>
    </c:legend>
    <c:plotVisOnly val="1"/>
  </c:chart>
  <c:printSettings>
    <c:headerFooter/>
    <c:pageMargins b="0.75000000000001343" l="0.70000000000000062" r="0.70000000000000062" t="0.7500000000000134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SNR vs Path Length</a:t>
            </a:r>
            <a:br>
              <a:rPr lang="en-US"/>
            </a:br>
            <a:r>
              <a:rPr lang="en-US" sz="1400"/>
              <a:t>ITU-R M.2135-1 Path Loss Model</a:t>
            </a:r>
            <a:endParaRPr lang="en-US"/>
          </a:p>
        </c:rich>
      </c:tx>
    </c:title>
    <c:plotArea>
      <c:layout/>
      <c:scatterChart>
        <c:scatterStyle val="smoothMarker"/>
        <c:ser>
          <c:idx val="2"/>
          <c:order val="0"/>
          <c:tx>
            <c:strRef>
              <c:f>'2-SNR-Chan Cap vs Range'!$B$164</c:f>
              <c:strCache>
                <c:ptCount val="1"/>
                <c:pt idx="0">
                  <c:v>Large City Urban</c:v>
                </c:pt>
              </c:strCache>
            </c:strRef>
          </c:tx>
          <c:marker>
            <c:symbol val="none"/>
          </c:marker>
          <c:xVal>
            <c:strRef>
              <c:f>'2-SNR-Chan Cap vs Range'!$B$166:$B$191</c:f>
              <c:strCache>
                <c:ptCount val="26"/>
                <c:pt idx="0">
                  <c:v>0.05</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n/a</c:v>
                </c:pt>
              </c:strCache>
            </c:strRef>
          </c:xVal>
          <c:yVal>
            <c:numRef>
              <c:f>'2-SNR-Chan Cap vs Range'!$C$166:$C$191</c:f>
              <c:numCache>
                <c:formatCode>0.00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5.7</c:v>
                </c:pt>
              </c:numCache>
            </c:numRef>
          </c:yVal>
          <c:smooth val="1"/>
        </c:ser>
        <c:ser>
          <c:idx val="1"/>
          <c:order val="1"/>
          <c:tx>
            <c:strRef>
              <c:f>'2-SNR-Chan Cap vs Range'!$G$164</c:f>
              <c:strCache>
                <c:ptCount val="1"/>
                <c:pt idx="0">
                  <c:v>Small City Urban</c:v>
                </c:pt>
              </c:strCache>
            </c:strRef>
          </c:tx>
          <c:marker>
            <c:symbol val="none"/>
          </c:marker>
          <c:xVal>
            <c:strRef>
              <c:f>'2-SNR-Chan Cap vs Range'!$G$166:$G$191</c:f>
              <c:strCache>
                <c:ptCount val="26"/>
                <c:pt idx="0">
                  <c:v>0.05</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n/a</c:v>
                </c:pt>
              </c:strCache>
            </c:strRef>
          </c:xVal>
          <c:yVal>
            <c:numRef>
              <c:f>'2-SNR-Chan Cap vs Range'!$H$166:$H$191</c:f>
              <c:numCache>
                <c:formatCode>0.00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5.7</c:v>
                </c:pt>
              </c:numCache>
            </c:numRef>
          </c:yVal>
          <c:smooth val="1"/>
        </c:ser>
        <c:ser>
          <c:idx val="0"/>
          <c:order val="2"/>
          <c:tx>
            <c:strRef>
              <c:f>'2-SNR-Chan Cap vs Range'!$L$164</c:f>
              <c:strCache>
                <c:ptCount val="1"/>
                <c:pt idx="0">
                  <c:v>Suburban</c:v>
                </c:pt>
              </c:strCache>
            </c:strRef>
          </c:tx>
          <c:marker>
            <c:symbol val="none"/>
          </c:marker>
          <c:xVal>
            <c:strRef>
              <c:f>'2-SNR-Chan Cap vs Range'!$L$166:$L$191</c:f>
              <c:strCache>
                <c:ptCount val="26"/>
                <c:pt idx="0">
                  <c:v>0.05</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n/a</c:v>
                </c:pt>
              </c:strCache>
            </c:strRef>
          </c:xVal>
          <c:yVal>
            <c:numRef>
              <c:f>'2-SNR-Chan Cap vs Range'!$M$166:$M$191</c:f>
              <c:numCache>
                <c:formatCode>0.00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5.7</c:v>
                </c:pt>
              </c:numCache>
            </c:numRef>
          </c:yVal>
          <c:smooth val="1"/>
        </c:ser>
        <c:ser>
          <c:idx val="3"/>
          <c:order val="3"/>
          <c:tx>
            <c:strRef>
              <c:f>'2-SNR-Chan Cap vs Range'!$Q$164</c:f>
              <c:strCache>
                <c:ptCount val="1"/>
                <c:pt idx="0">
                  <c:v>Rural</c:v>
                </c:pt>
              </c:strCache>
            </c:strRef>
          </c:tx>
          <c:marker>
            <c:symbol val="none"/>
          </c:marker>
          <c:xVal>
            <c:strRef>
              <c:f>'2-SNR-Chan Cap vs Range'!$Q$166:$Q$191</c:f>
              <c:strCache>
                <c:ptCount val="26"/>
                <c:pt idx="0">
                  <c:v>0.05</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n/a</c:v>
                </c:pt>
              </c:strCache>
            </c:strRef>
          </c:xVal>
          <c:yVal>
            <c:numRef>
              <c:f>'2-SNR-Chan Cap vs Range'!$R$166:$R$191</c:f>
              <c:numCache>
                <c:formatCode>0.00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5.7</c:v>
                </c:pt>
              </c:numCache>
            </c:numRef>
          </c:yVal>
          <c:smooth val="1"/>
        </c:ser>
        <c:axId val="121297536"/>
        <c:axId val="122950400"/>
      </c:scatterChart>
      <c:valAx>
        <c:axId val="121297536"/>
        <c:scaling>
          <c:orientation val="minMax"/>
        </c:scaling>
        <c:axPos val="b"/>
        <c:majorGridlines/>
        <c:title>
          <c:tx>
            <c:rich>
              <a:bodyPr/>
              <a:lstStyle/>
              <a:p>
                <a:pPr>
                  <a:defRPr/>
                </a:pPr>
                <a:r>
                  <a:rPr lang="en-US"/>
                  <a:t>Path Length in km</a:t>
                </a:r>
              </a:p>
            </c:rich>
          </c:tx>
        </c:title>
        <c:numFmt formatCode="#,##0.0" sourceLinked="0"/>
        <c:tickLblPos val="nextTo"/>
        <c:crossAx val="122950400"/>
        <c:crosses val="autoZero"/>
        <c:crossBetween val="midCat"/>
      </c:valAx>
      <c:valAx>
        <c:axId val="122950400"/>
        <c:scaling>
          <c:orientation val="minMax"/>
          <c:max val="25"/>
        </c:scaling>
        <c:axPos val="l"/>
        <c:majorGridlines/>
        <c:title>
          <c:tx>
            <c:rich>
              <a:bodyPr rot="-5400000" vert="horz"/>
              <a:lstStyle/>
              <a:p>
                <a:pPr>
                  <a:defRPr/>
                </a:pPr>
                <a:r>
                  <a:rPr lang="en-US"/>
                  <a:t>Relative SnR in dB</a:t>
                </a:r>
              </a:p>
            </c:rich>
          </c:tx>
        </c:title>
        <c:numFmt formatCode="0" sourceLinked="0"/>
        <c:minorTickMark val="cross"/>
        <c:tickLblPos val="nextTo"/>
        <c:crossAx val="121297536"/>
        <c:crosses val="autoZero"/>
        <c:crossBetween val="midCat"/>
      </c:valAx>
    </c:plotArea>
    <c:legend>
      <c:legendPos val="r"/>
    </c:legend>
    <c:plotVisOnly val="1"/>
  </c:chart>
  <c:printSettings>
    <c:headerFooter/>
    <c:pageMargins b="0.75000000000001343" l="0.70000000000000062" r="0.70000000000000062" t="0.750000000000013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UL Channel Capacity</a:t>
            </a:r>
          </a:p>
          <a:p>
            <a:pPr>
              <a:defRPr/>
            </a:pPr>
            <a:r>
              <a:rPr lang="en-US" sz="1400"/>
              <a:t>ITU-R M.2135-1 Path Loss Model</a:t>
            </a:r>
          </a:p>
        </c:rich>
      </c:tx>
    </c:title>
    <c:plotArea>
      <c:layout/>
      <c:scatterChart>
        <c:scatterStyle val="smoothMarker"/>
        <c:ser>
          <c:idx val="0"/>
          <c:order val="0"/>
          <c:tx>
            <c:strRef>
              <c:f>'2-SNR-Chan Cap vs Range'!$B$164</c:f>
              <c:strCache>
                <c:ptCount val="1"/>
                <c:pt idx="0">
                  <c:v>Large City Urban</c:v>
                </c:pt>
              </c:strCache>
            </c:strRef>
          </c:tx>
          <c:marker>
            <c:symbol val="none"/>
          </c:marker>
          <c:xVal>
            <c:strRef>
              <c:f>'2-SNR-Chan Cap vs Range'!$B$167:$B$191</c:f>
              <c:strCache>
                <c:ptCount val="25"/>
                <c:pt idx="0">
                  <c:v>#VALUE!</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n/a</c:v>
                </c:pt>
              </c:strCache>
            </c:strRef>
          </c:xVal>
          <c:yVal>
            <c:numRef>
              <c:f>'2-SNR-Chan Cap vs Range'!$E$167:$E$191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yVal>
          <c:smooth val="1"/>
        </c:ser>
        <c:ser>
          <c:idx val="1"/>
          <c:order val="1"/>
          <c:tx>
            <c:strRef>
              <c:f>'2-SNR-Chan Cap vs Range'!$G$164</c:f>
              <c:strCache>
                <c:ptCount val="1"/>
                <c:pt idx="0">
                  <c:v>Small City Urban</c:v>
                </c:pt>
              </c:strCache>
            </c:strRef>
          </c:tx>
          <c:marker>
            <c:symbol val="none"/>
          </c:marker>
          <c:xVal>
            <c:strRef>
              <c:f>'2-SNR-Chan Cap vs Range'!$G$167:$G$191</c:f>
              <c:strCache>
                <c:ptCount val="25"/>
                <c:pt idx="0">
                  <c:v>#VALUE!</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n/a</c:v>
                </c:pt>
              </c:strCache>
            </c:strRef>
          </c:xVal>
          <c:yVal>
            <c:numRef>
              <c:f>'2-SNR-Chan Cap vs Range'!$J$167:$J$190</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yVal>
          <c:smooth val="1"/>
        </c:ser>
        <c:ser>
          <c:idx val="2"/>
          <c:order val="2"/>
          <c:tx>
            <c:strRef>
              <c:f>'2-SNR-Chan Cap vs Range'!$L$164</c:f>
              <c:strCache>
                <c:ptCount val="1"/>
                <c:pt idx="0">
                  <c:v>Suburban</c:v>
                </c:pt>
              </c:strCache>
            </c:strRef>
          </c:tx>
          <c:marker>
            <c:symbol val="none"/>
          </c:marker>
          <c:xVal>
            <c:strRef>
              <c:f>'2-SNR-Chan Cap vs Range'!$L$167:$L$191</c:f>
              <c:strCache>
                <c:ptCount val="25"/>
                <c:pt idx="0">
                  <c:v>#VALUE!</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n/a</c:v>
                </c:pt>
              </c:strCache>
            </c:strRef>
          </c:xVal>
          <c:yVal>
            <c:numRef>
              <c:f>'2-SNR-Chan Cap vs Range'!$O$167:$O$191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yVal>
          <c:smooth val="1"/>
        </c:ser>
        <c:ser>
          <c:idx val="3"/>
          <c:order val="3"/>
          <c:tx>
            <c:strRef>
              <c:f>'2-SNR-Chan Cap vs Range'!$Q$164</c:f>
              <c:strCache>
                <c:ptCount val="1"/>
                <c:pt idx="0">
                  <c:v>Rural</c:v>
                </c:pt>
              </c:strCache>
            </c:strRef>
          </c:tx>
          <c:marker>
            <c:symbol val="none"/>
          </c:marker>
          <c:xVal>
            <c:strRef>
              <c:f>'2-SNR-Chan Cap vs Range'!$Q$167:$Q$191</c:f>
              <c:strCache>
                <c:ptCount val="25"/>
                <c:pt idx="0">
                  <c:v>#VALUE!</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n/a</c:v>
                </c:pt>
              </c:strCache>
            </c:strRef>
          </c:xVal>
          <c:yVal>
            <c:numRef>
              <c:f>'2-SNR-Chan Cap vs Range'!$T$167:$T$191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yVal>
          <c:smooth val="1"/>
        </c:ser>
        <c:axId val="122969472"/>
        <c:axId val="122996224"/>
      </c:scatterChart>
      <c:valAx>
        <c:axId val="122969472"/>
        <c:scaling>
          <c:orientation val="minMax"/>
        </c:scaling>
        <c:axPos val="b"/>
        <c:title>
          <c:tx>
            <c:rich>
              <a:bodyPr/>
              <a:lstStyle/>
              <a:p>
                <a:pPr>
                  <a:defRPr/>
                </a:pPr>
                <a:r>
                  <a:rPr lang="en-US"/>
                  <a:t>Path Length in km</a:t>
                </a:r>
              </a:p>
            </c:rich>
          </c:tx>
        </c:title>
        <c:numFmt formatCode="0.0" sourceLinked="0"/>
        <c:tickLblPos val="nextTo"/>
        <c:crossAx val="122996224"/>
        <c:crosses val="autoZero"/>
        <c:crossBetween val="midCat"/>
      </c:valAx>
      <c:valAx>
        <c:axId val="122996224"/>
        <c:scaling>
          <c:orientation val="minMax"/>
        </c:scaling>
        <c:axPos val="l"/>
        <c:majorGridlines/>
        <c:title>
          <c:tx>
            <c:rich>
              <a:bodyPr rot="-5400000" vert="horz"/>
              <a:lstStyle/>
              <a:p>
                <a:pPr>
                  <a:defRPr/>
                </a:pPr>
                <a:r>
                  <a:rPr lang="en-US"/>
                  <a:t>Channel/Sector Capacity mbps</a:t>
                </a:r>
              </a:p>
            </c:rich>
          </c:tx>
        </c:title>
        <c:numFmt formatCode="0.0" sourceLinked="0"/>
        <c:tickLblPos val="nextTo"/>
        <c:crossAx val="122969472"/>
        <c:crosses val="autoZero"/>
        <c:crossBetween val="midCat"/>
      </c:valAx>
    </c:plotArea>
    <c:legend>
      <c:legendPos val="r"/>
    </c:legend>
    <c:plotVisOnly val="1"/>
  </c:chart>
  <c:printSettings>
    <c:headerFooter/>
    <c:pageMargins b="0.75000000000001321" l="0.70000000000000062" r="0.70000000000000062" t="0.750000000000013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UL Channel Capacity</a:t>
            </a:r>
          </a:p>
          <a:p>
            <a:pPr>
              <a:defRPr/>
            </a:pPr>
            <a:r>
              <a:rPr lang="en-US" sz="1400"/>
              <a:t>Hata-Okumura Path Loss Model</a:t>
            </a:r>
          </a:p>
        </c:rich>
      </c:tx>
    </c:title>
    <c:plotArea>
      <c:layout/>
      <c:scatterChart>
        <c:scatterStyle val="smoothMarker"/>
        <c:ser>
          <c:idx val="0"/>
          <c:order val="0"/>
          <c:tx>
            <c:strRef>
              <c:f>'2-SNR-Chan Cap vs Range'!$B$74</c:f>
              <c:strCache>
                <c:ptCount val="1"/>
                <c:pt idx="0">
                  <c:v>Large City Urban</c:v>
                </c:pt>
              </c:strCache>
            </c:strRef>
          </c:tx>
          <c:marker>
            <c:symbol val="none"/>
          </c:marker>
          <c:xVal>
            <c:strRef>
              <c:f>'2-SNR-Chan Cap vs Range'!$B$77:$B$101</c:f>
              <c:strCache>
                <c:ptCount val="25"/>
                <c:pt idx="0">
                  <c:v>#VALUE!</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n/a</c:v>
                </c:pt>
              </c:strCache>
            </c:strRef>
          </c:xVal>
          <c:yVal>
            <c:numRef>
              <c:f>'2-SNR-Chan Cap vs Range'!$E$77:$E$101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yVal>
          <c:smooth val="1"/>
        </c:ser>
        <c:ser>
          <c:idx val="1"/>
          <c:order val="1"/>
          <c:tx>
            <c:strRef>
              <c:f>'2-SNR-Chan Cap vs Range'!$G$74</c:f>
              <c:strCache>
                <c:ptCount val="1"/>
                <c:pt idx="0">
                  <c:v>Small City Urban</c:v>
                </c:pt>
              </c:strCache>
            </c:strRef>
          </c:tx>
          <c:marker>
            <c:symbol val="none"/>
          </c:marker>
          <c:xVal>
            <c:strRef>
              <c:f>'2-SNR-Chan Cap vs Range'!$G$77:$G$101</c:f>
              <c:strCache>
                <c:ptCount val="25"/>
                <c:pt idx="0">
                  <c:v>#VALUE!</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n/a</c:v>
                </c:pt>
              </c:strCache>
            </c:strRef>
          </c:xVal>
          <c:yVal>
            <c:numRef>
              <c:f>'2-SNR-Chan Cap vs Range'!$J$77:$J$101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yVal>
          <c:smooth val="1"/>
        </c:ser>
        <c:ser>
          <c:idx val="2"/>
          <c:order val="2"/>
          <c:tx>
            <c:strRef>
              <c:f>'2-SNR-Chan Cap vs Range'!$L$74</c:f>
              <c:strCache>
                <c:ptCount val="1"/>
                <c:pt idx="0">
                  <c:v>Suburban</c:v>
                </c:pt>
              </c:strCache>
            </c:strRef>
          </c:tx>
          <c:marker>
            <c:symbol val="none"/>
          </c:marker>
          <c:xVal>
            <c:strRef>
              <c:f>'2-SNR-Chan Cap vs Range'!$L$77:$L$101</c:f>
              <c:strCache>
                <c:ptCount val="25"/>
                <c:pt idx="0">
                  <c:v>#VALUE!</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n/a</c:v>
                </c:pt>
              </c:strCache>
            </c:strRef>
          </c:xVal>
          <c:yVal>
            <c:numRef>
              <c:f>'2-SNR-Chan Cap vs Range'!$O$77:$O$101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yVal>
          <c:smooth val="1"/>
        </c:ser>
        <c:axId val="123017856"/>
        <c:axId val="123040512"/>
      </c:scatterChart>
      <c:valAx>
        <c:axId val="123017856"/>
        <c:scaling>
          <c:orientation val="minMax"/>
        </c:scaling>
        <c:axPos val="b"/>
        <c:majorGridlines/>
        <c:title>
          <c:tx>
            <c:rich>
              <a:bodyPr/>
              <a:lstStyle/>
              <a:p>
                <a:pPr>
                  <a:defRPr/>
                </a:pPr>
                <a:r>
                  <a:rPr lang="en-US"/>
                  <a:t>Path Length in km</a:t>
                </a:r>
              </a:p>
            </c:rich>
          </c:tx>
        </c:title>
        <c:numFmt formatCode="0.0" sourceLinked="0"/>
        <c:tickLblPos val="nextTo"/>
        <c:crossAx val="123040512"/>
        <c:crosses val="autoZero"/>
        <c:crossBetween val="midCat"/>
      </c:valAx>
      <c:valAx>
        <c:axId val="123040512"/>
        <c:scaling>
          <c:orientation val="minMax"/>
        </c:scaling>
        <c:axPos val="l"/>
        <c:majorGridlines/>
        <c:title>
          <c:tx>
            <c:rich>
              <a:bodyPr rot="-5400000" vert="horz"/>
              <a:lstStyle/>
              <a:p>
                <a:pPr>
                  <a:defRPr/>
                </a:pPr>
                <a:r>
                  <a:rPr lang="en-US"/>
                  <a:t>Channel/Sector Capacity mbps</a:t>
                </a:r>
              </a:p>
            </c:rich>
          </c:tx>
        </c:title>
        <c:numFmt formatCode="0.0" sourceLinked="0"/>
        <c:tickLblPos val="nextTo"/>
        <c:crossAx val="123017856"/>
        <c:crosses val="autoZero"/>
        <c:crossBetween val="midCat"/>
      </c:valAx>
    </c:plotArea>
    <c:legend>
      <c:legendPos val="r"/>
    </c:legend>
    <c:plotVisOnly val="1"/>
  </c:chart>
  <c:printSettings>
    <c:headerFooter/>
    <c:pageMargins b="0.75000000000001321" l="0.70000000000000062" r="0.70000000000000062" t="0.750000000000013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SNR vs Path Length</a:t>
            </a:r>
            <a:br>
              <a:rPr lang="en-US"/>
            </a:br>
            <a:r>
              <a:rPr lang="en-US" sz="1400"/>
              <a:t>COST231-Hata </a:t>
            </a:r>
            <a:r>
              <a:rPr lang="en-US" sz="1400" baseline="0"/>
              <a:t>Path Loss Model</a:t>
            </a:r>
            <a:endParaRPr lang="en-US"/>
          </a:p>
        </c:rich>
      </c:tx>
    </c:title>
    <c:plotArea>
      <c:layout/>
      <c:scatterChart>
        <c:scatterStyle val="smoothMarker"/>
        <c:ser>
          <c:idx val="0"/>
          <c:order val="0"/>
          <c:tx>
            <c:strRef>
              <c:f>'2-SNR-Chan Cap vs Range'!$B$104</c:f>
              <c:strCache>
                <c:ptCount val="1"/>
                <c:pt idx="0">
                  <c:v>Large City Urban</c:v>
                </c:pt>
              </c:strCache>
            </c:strRef>
          </c:tx>
          <c:marker>
            <c:symbol val="none"/>
          </c:marker>
          <c:xVal>
            <c:strRef>
              <c:f>'2-SNR-Chan Cap vs Range'!$B$106:$B$131</c:f>
              <c:strCache>
                <c:ptCount val="26"/>
                <c:pt idx="0">
                  <c:v>0.05</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n/a</c:v>
                </c:pt>
              </c:strCache>
            </c:strRef>
          </c:xVal>
          <c:yVal>
            <c:numRef>
              <c:f>'2-SNR-Chan Cap vs Range'!$C$106:$C$131</c:f>
              <c:numCache>
                <c:formatCode>0.00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5.7</c:v>
                </c:pt>
              </c:numCache>
            </c:numRef>
          </c:yVal>
          <c:smooth val="1"/>
        </c:ser>
        <c:ser>
          <c:idx val="1"/>
          <c:order val="1"/>
          <c:tx>
            <c:strRef>
              <c:f>'2-SNR-Chan Cap vs Range'!$G$104</c:f>
              <c:strCache>
                <c:ptCount val="1"/>
                <c:pt idx="0">
                  <c:v>Suburban</c:v>
                </c:pt>
              </c:strCache>
            </c:strRef>
          </c:tx>
          <c:marker>
            <c:symbol val="none"/>
          </c:marker>
          <c:xVal>
            <c:strRef>
              <c:f>'2-SNR-Chan Cap vs Range'!$G$106:$G$131</c:f>
              <c:strCache>
                <c:ptCount val="26"/>
                <c:pt idx="0">
                  <c:v>0.05</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#VALUE!</c:v>
                </c:pt>
                <c:pt idx="25">
                  <c:v>n/a</c:v>
                </c:pt>
              </c:strCache>
            </c:strRef>
          </c:xVal>
          <c:yVal>
            <c:numRef>
              <c:f>'2-SNR-Chan Cap vs Range'!$H$106:$H$131</c:f>
              <c:numCache>
                <c:formatCode>0.00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5.7</c:v>
                </c:pt>
              </c:numCache>
            </c:numRef>
          </c:yVal>
          <c:smooth val="1"/>
        </c:ser>
        <c:axId val="123107968"/>
        <c:axId val="123138816"/>
      </c:scatterChart>
      <c:valAx>
        <c:axId val="123107968"/>
        <c:scaling>
          <c:orientation val="minMax"/>
          <c:min val="0"/>
        </c:scaling>
        <c:axPos val="b"/>
        <c:majorGridlines/>
        <c:title>
          <c:tx>
            <c:rich>
              <a:bodyPr/>
              <a:lstStyle/>
              <a:p>
                <a:pPr>
                  <a:defRPr/>
                </a:pPr>
                <a:r>
                  <a:rPr lang="en-US"/>
                  <a:t>Path Length in km</a:t>
                </a:r>
              </a:p>
            </c:rich>
          </c:tx>
        </c:title>
        <c:numFmt formatCode="#,##0.0" sourceLinked="0"/>
        <c:tickLblPos val="nextTo"/>
        <c:crossAx val="123138816"/>
        <c:crosses val="autoZero"/>
        <c:crossBetween val="midCat"/>
      </c:valAx>
      <c:valAx>
        <c:axId val="123138816"/>
        <c:scaling>
          <c:orientation val="minMax"/>
          <c:max val="25"/>
        </c:scaling>
        <c:axPos val="l"/>
        <c:majorGridlines/>
        <c:title>
          <c:tx>
            <c:rich>
              <a:bodyPr rot="-5400000" vert="horz"/>
              <a:lstStyle/>
              <a:p>
                <a:pPr>
                  <a:defRPr/>
                </a:pPr>
                <a:r>
                  <a:rPr lang="en-US"/>
                  <a:t>Relative SnR in dB</a:t>
                </a:r>
              </a:p>
            </c:rich>
          </c:tx>
        </c:title>
        <c:numFmt formatCode="0" sourceLinked="0"/>
        <c:minorTickMark val="cross"/>
        <c:tickLblPos val="nextTo"/>
        <c:crossAx val="123107968"/>
        <c:crosses val="autoZero"/>
        <c:crossBetween val="midCat"/>
      </c:valAx>
    </c:plotArea>
    <c:legend>
      <c:legendPos val="r"/>
    </c:legend>
    <c:plotVisOnly val="1"/>
  </c:chart>
  <c:printSettings>
    <c:headerFooter/>
    <c:pageMargins b="0.75000000000001366" l="0.70000000000000062" r="0.70000000000000062" t="0.750000000000013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UL Channel Capacity</a:t>
            </a:r>
          </a:p>
          <a:p>
            <a:pPr>
              <a:defRPr/>
            </a:pPr>
            <a:r>
              <a:rPr lang="en-US" sz="1400"/>
              <a:t>COST-231 Path Loss Model</a:t>
            </a:r>
          </a:p>
        </c:rich>
      </c:tx>
    </c:title>
    <c:plotArea>
      <c:layout/>
      <c:scatterChart>
        <c:scatterStyle val="smoothMarker"/>
        <c:ser>
          <c:idx val="0"/>
          <c:order val="0"/>
          <c:tx>
            <c:strRef>
              <c:f>'2-SNR-Chan Cap vs Range'!$B$104</c:f>
              <c:strCache>
                <c:ptCount val="1"/>
                <c:pt idx="0">
                  <c:v>Large City Urban</c:v>
                </c:pt>
              </c:strCache>
            </c:strRef>
          </c:tx>
          <c:marker>
            <c:symbol val="none"/>
          </c:marker>
          <c:xVal>
            <c:strRef>
              <c:f>'2-SNR-Chan Cap vs Range'!$B$107:$B$131</c:f>
              <c:strCache>
                <c:ptCount val="25"/>
                <c:pt idx="0">
                  <c:v>#VALUE!</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n/a</c:v>
                </c:pt>
              </c:strCache>
            </c:strRef>
          </c:xVal>
          <c:yVal>
            <c:numRef>
              <c:f>'2-SNR-Chan Cap vs Range'!$E$107:$E$131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yVal>
          <c:smooth val="1"/>
        </c:ser>
        <c:ser>
          <c:idx val="1"/>
          <c:order val="1"/>
          <c:tx>
            <c:strRef>
              <c:f>'2-SNR-Chan Cap vs Range'!$G$104</c:f>
              <c:strCache>
                <c:ptCount val="1"/>
                <c:pt idx="0">
                  <c:v>Suburban</c:v>
                </c:pt>
              </c:strCache>
            </c:strRef>
          </c:tx>
          <c:marker>
            <c:symbol val="none"/>
          </c:marker>
          <c:xVal>
            <c:strRef>
              <c:f>'2-SNR-Chan Cap vs Range'!$G$107:$G$131</c:f>
              <c:strCache>
                <c:ptCount val="25"/>
                <c:pt idx="0">
                  <c:v>#VALUE!</c:v>
                </c:pt>
                <c:pt idx="1">
                  <c:v>#VALUE!</c:v>
                </c:pt>
                <c:pt idx="2">
                  <c:v>#VALUE!</c:v>
                </c:pt>
                <c:pt idx="3">
                  <c:v>#VALUE!</c:v>
                </c:pt>
                <c:pt idx="4">
                  <c:v>#VALUE!</c:v>
                </c:pt>
                <c:pt idx="5">
                  <c:v>#VALUE!</c:v>
                </c:pt>
                <c:pt idx="6">
                  <c:v>#VALUE!</c:v>
                </c:pt>
                <c:pt idx="7">
                  <c:v>#VALUE!</c:v>
                </c:pt>
                <c:pt idx="8">
                  <c:v>#VALUE!</c:v>
                </c:pt>
                <c:pt idx="9">
                  <c:v>#VALUE!</c:v>
                </c:pt>
                <c:pt idx="10">
                  <c:v>#VALUE!</c:v>
                </c:pt>
                <c:pt idx="11">
                  <c:v>#VALUE!</c:v>
                </c:pt>
                <c:pt idx="12">
                  <c:v>#VALUE!</c:v>
                </c:pt>
                <c:pt idx="13">
                  <c:v>#VALUE!</c:v>
                </c:pt>
                <c:pt idx="14">
                  <c:v>#VALUE!</c:v>
                </c:pt>
                <c:pt idx="15">
                  <c:v>#VALUE!</c:v>
                </c:pt>
                <c:pt idx="16">
                  <c:v>#VALUE!</c:v>
                </c:pt>
                <c:pt idx="17">
                  <c:v>#VALUE!</c:v>
                </c:pt>
                <c:pt idx="18">
                  <c:v>#VALUE!</c:v>
                </c:pt>
                <c:pt idx="19">
                  <c:v>#VALUE!</c:v>
                </c:pt>
                <c:pt idx="20">
                  <c:v>#VALUE!</c:v>
                </c:pt>
                <c:pt idx="21">
                  <c:v>#VALUE!</c:v>
                </c:pt>
                <c:pt idx="22">
                  <c:v>#VALUE!</c:v>
                </c:pt>
                <c:pt idx="23">
                  <c:v>#VALUE!</c:v>
                </c:pt>
                <c:pt idx="24">
                  <c:v>n/a</c:v>
                </c:pt>
              </c:strCache>
            </c:strRef>
          </c:xVal>
          <c:yVal>
            <c:numRef>
              <c:f>'2-SNR-Chan Cap vs Range'!$J$107:$J$131</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yVal>
          <c:smooth val="1"/>
        </c:ser>
        <c:axId val="123176448"/>
        <c:axId val="123178368"/>
      </c:scatterChart>
      <c:valAx>
        <c:axId val="123176448"/>
        <c:scaling>
          <c:orientation val="minMax"/>
        </c:scaling>
        <c:axPos val="b"/>
        <c:majorGridlines/>
        <c:title>
          <c:tx>
            <c:rich>
              <a:bodyPr/>
              <a:lstStyle/>
              <a:p>
                <a:pPr>
                  <a:defRPr/>
                </a:pPr>
                <a:r>
                  <a:rPr lang="en-US"/>
                  <a:t>Path Length in km</a:t>
                </a:r>
              </a:p>
            </c:rich>
          </c:tx>
        </c:title>
        <c:numFmt formatCode="0.0" sourceLinked="0"/>
        <c:tickLblPos val="nextTo"/>
        <c:crossAx val="123178368"/>
        <c:crosses val="autoZero"/>
        <c:crossBetween val="midCat"/>
      </c:valAx>
      <c:valAx>
        <c:axId val="123178368"/>
        <c:scaling>
          <c:orientation val="minMax"/>
        </c:scaling>
        <c:axPos val="l"/>
        <c:majorGridlines/>
        <c:title>
          <c:tx>
            <c:rich>
              <a:bodyPr rot="-5400000" vert="horz"/>
              <a:lstStyle/>
              <a:p>
                <a:pPr>
                  <a:defRPr/>
                </a:pPr>
                <a:r>
                  <a:rPr lang="en-US"/>
                  <a:t>Channel/Sector Capacity mbps</a:t>
                </a:r>
              </a:p>
            </c:rich>
          </c:tx>
        </c:title>
        <c:numFmt formatCode="0.0" sourceLinked="0"/>
        <c:tickLblPos val="nextTo"/>
        <c:crossAx val="123176448"/>
        <c:crosses val="autoZero"/>
        <c:crossBetween val="midCat"/>
      </c:valAx>
    </c:plotArea>
    <c:legend>
      <c:legendPos val="r"/>
    </c:legend>
    <c:plotVisOnly val="1"/>
  </c:chart>
  <c:printSettings>
    <c:headerFooter/>
    <c:pageMargins b="0.75000000000001343" l="0.70000000000000062" r="0.70000000000000062" t="0.75000000000001343" header="0.30000000000000032" footer="0.30000000000000032"/>
    <c:pageSetup/>
  </c:printSettings>
</c:chartSpace>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1.xml"/><Relationship Id="rId3" Type="http://schemas.openxmlformats.org/officeDocument/2006/relationships/chart" Target="../charts/chart16.xml"/><Relationship Id="rId7" Type="http://schemas.openxmlformats.org/officeDocument/2006/relationships/chart" Target="../charts/chart20.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11" Type="http://schemas.openxmlformats.org/officeDocument/2006/relationships/chart" Target="../charts/chart24.xml"/><Relationship Id="rId5" Type="http://schemas.openxmlformats.org/officeDocument/2006/relationships/chart" Target="../charts/chart18.xml"/><Relationship Id="rId10" Type="http://schemas.openxmlformats.org/officeDocument/2006/relationships/chart" Target="../charts/chart23.xml"/><Relationship Id="rId4" Type="http://schemas.openxmlformats.org/officeDocument/2006/relationships/chart" Target="../charts/chart17.xml"/><Relationship Id="rId9"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9</xdr:col>
      <xdr:colOff>276225</xdr:colOff>
      <xdr:row>9</xdr:row>
      <xdr:rowOff>114300</xdr:rowOff>
    </xdr:from>
    <xdr:to>
      <xdr:col>14</xdr:col>
      <xdr:colOff>295275</xdr:colOff>
      <xdr:row>22</xdr:row>
      <xdr:rowOff>85725</xdr:rowOff>
    </xdr:to>
    <xdr:sp macro="" textlink="">
      <xdr:nvSpPr>
        <xdr:cNvPr id="2" name="Line 1"/>
        <xdr:cNvSpPr>
          <a:spLocks noChangeShapeType="1"/>
        </xdr:cNvSpPr>
      </xdr:nvSpPr>
      <xdr:spPr bwMode="auto">
        <a:xfrm flipV="1">
          <a:off x="9420225" y="5419725"/>
          <a:ext cx="4095750" cy="2486025"/>
        </a:xfrm>
        <a:prstGeom prst="line">
          <a:avLst/>
        </a:prstGeom>
        <a:noFill/>
        <a:ln w="9360">
          <a:solidFill>
            <a:srgbClr val="000000"/>
          </a:solidFill>
          <a:miter lim="800000"/>
          <a:headEnd/>
          <a:tailEnd type="triangle" w="med" len="med"/>
        </a:ln>
      </xdr:spPr>
    </xdr:sp>
    <xdr:clientData/>
  </xdr:twoCellAnchor>
  <xdr:twoCellAnchor>
    <xdr:from>
      <xdr:col>7</xdr:col>
      <xdr:colOff>101972</xdr:colOff>
      <xdr:row>22</xdr:row>
      <xdr:rowOff>104775</xdr:rowOff>
    </xdr:from>
    <xdr:to>
      <xdr:col>9</xdr:col>
      <xdr:colOff>804581</xdr:colOff>
      <xdr:row>24</xdr:row>
      <xdr:rowOff>0</xdr:rowOff>
    </xdr:to>
    <xdr:sp macro="" textlink="">
      <xdr:nvSpPr>
        <xdr:cNvPr id="3" name="AutoShape 2"/>
        <xdr:cNvSpPr>
          <a:spLocks/>
        </xdr:cNvSpPr>
      </xdr:nvSpPr>
      <xdr:spPr bwMode="auto">
        <a:xfrm rot="-5400000">
          <a:off x="8456237" y="6710363"/>
          <a:ext cx="242607" cy="2719668"/>
        </a:xfrm>
        <a:prstGeom prst="rightBracket">
          <a:avLst>
            <a:gd name="adj" fmla="val 147889"/>
          </a:avLst>
        </a:prstGeom>
        <a:noFill/>
        <a:ln w="9525">
          <a:solidFill>
            <a:srgbClr val="000000"/>
          </a:solidFill>
          <a:round/>
          <a:headEnd/>
          <a:tailEnd/>
        </a:ln>
      </xdr:spPr>
    </xdr:sp>
    <xdr:clientData/>
  </xdr:twoCellAnchor>
  <xdr:twoCellAnchor>
    <xdr:from>
      <xdr:col>7</xdr:col>
      <xdr:colOff>44824</xdr:colOff>
      <xdr:row>30</xdr:row>
      <xdr:rowOff>11210</xdr:rowOff>
    </xdr:from>
    <xdr:to>
      <xdr:col>9</xdr:col>
      <xdr:colOff>862853</xdr:colOff>
      <xdr:row>32</xdr:row>
      <xdr:rowOff>44823</xdr:rowOff>
    </xdr:to>
    <xdr:sp macro="" textlink="">
      <xdr:nvSpPr>
        <xdr:cNvPr id="4" name="Right Brace 3"/>
        <xdr:cNvSpPr/>
      </xdr:nvSpPr>
      <xdr:spPr>
        <a:xfrm rot="5400000">
          <a:off x="8404414" y="9132796"/>
          <a:ext cx="347378" cy="2835088"/>
        </a:xfrm>
        <a:prstGeom prst="rightBrace">
          <a:avLst>
            <a:gd name="adj1" fmla="val 8333"/>
            <a:gd name="adj2" fmla="val 49213"/>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11</xdr:col>
      <xdr:colOff>89646</xdr:colOff>
      <xdr:row>43</xdr:row>
      <xdr:rowOff>11206</xdr:rowOff>
    </xdr:from>
    <xdr:to>
      <xdr:col>11</xdr:col>
      <xdr:colOff>560293</xdr:colOff>
      <xdr:row>56</xdr:row>
      <xdr:rowOff>179294</xdr:rowOff>
    </xdr:to>
    <xdr:sp macro="" textlink="">
      <xdr:nvSpPr>
        <xdr:cNvPr id="5" name="Right Brace 4"/>
        <xdr:cNvSpPr/>
      </xdr:nvSpPr>
      <xdr:spPr>
        <a:xfrm>
          <a:off x="11071411" y="13301382"/>
          <a:ext cx="470647" cy="2790265"/>
        </a:xfrm>
        <a:prstGeom prst="rightBrace">
          <a:avLst/>
        </a:prstGeom>
        <a:ln w="19050"/>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11</xdr:col>
      <xdr:colOff>605116</xdr:colOff>
      <xdr:row>47</xdr:row>
      <xdr:rowOff>11203</xdr:rowOff>
    </xdr:from>
    <xdr:to>
      <xdr:col>13</xdr:col>
      <xdr:colOff>504264</xdr:colOff>
      <xdr:row>52</xdr:row>
      <xdr:rowOff>22409</xdr:rowOff>
    </xdr:to>
    <xdr:sp macro="" textlink="">
      <xdr:nvSpPr>
        <xdr:cNvPr id="6" name="TextBox 5"/>
        <xdr:cNvSpPr txBox="1"/>
      </xdr:nvSpPr>
      <xdr:spPr>
        <a:xfrm>
          <a:off x="11586881" y="14108203"/>
          <a:ext cx="1535207" cy="1019735"/>
        </a:xfrm>
        <a:prstGeom prst="rect">
          <a:avLst/>
        </a:prstGeom>
        <a:solidFill>
          <a:schemeClr val="bg2"/>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a:t>These  entries</a:t>
          </a:r>
          <a:r>
            <a:rPr lang="en-US" sz="1400" baseline="0"/>
            <a:t> right now are just place-holders to test the model.</a:t>
          </a:r>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28575</xdr:colOff>
      <xdr:row>4</xdr:row>
      <xdr:rowOff>47625</xdr:rowOff>
    </xdr:from>
    <xdr:to>
      <xdr:col>11</xdr:col>
      <xdr:colOff>781051</xdr:colOff>
      <xdr:row>22</xdr:row>
      <xdr:rowOff>161924</xdr:rowOff>
    </xdr:to>
    <xdr:sp macro="" textlink="">
      <xdr:nvSpPr>
        <xdr:cNvPr id="2" name="TextBox 1"/>
        <xdr:cNvSpPr txBox="1"/>
      </xdr:nvSpPr>
      <xdr:spPr>
        <a:xfrm>
          <a:off x="10706100" y="1114425"/>
          <a:ext cx="3800476" cy="4343399"/>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1"/>
            <a:t>Notes: </a:t>
          </a:r>
        </a:p>
        <a:p>
          <a:r>
            <a:rPr lang="en-US" sz="1200"/>
            <a:t>A) Terminal </a:t>
          </a:r>
          <a:r>
            <a:rPr lang="en-US" sz="1200" baseline="0"/>
            <a:t> antenna gains and Tx pwr will vary with "Actor" type- i.e. a mobile handset will have a low gain antenna and low Tx pwr, a DAP backhaul will have a higher gain antenna with higher Tx pwr. </a:t>
          </a:r>
        </a:p>
        <a:p>
          <a:r>
            <a:rPr lang="en-US" sz="1200" baseline="0"/>
            <a:t>B) Different frequency bands may have different regulatory constraints on EIRP - unlicensed vs. licensed for example. </a:t>
          </a:r>
        </a:p>
        <a:p>
          <a:r>
            <a:rPr lang="en-US" sz="1200" baseline="0"/>
            <a:t>C) BS Transmit power may have differing maximum EIRP limits for different frequency bands.</a:t>
          </a:r>
        </a:p>
        <a:p>
          <a:r>
            <a:rPr lang="en-US" sz="1200" baseline="0"/>
            <a:t>D) It is important to know what the DL and UL OH factors include. Many responses will only account for Layers 1 and 2 (PHY and Data Link). There is provision on Sheet C to add to the OH factor to account for OH with the higher layers.</a:t>
          </a:r>
          <a:endParaRPr lang="en-US" sz="1200"/>
        </a:p>
      </xdr:txBody>
    </xdr:sp>
    <xdr:clientData/>
  </xdr:twoCellAnchor>
  <xdr:twoCellAnchor>
    <xdr:from>
      <xdr:col>20</xdr:col>
      <xdr:colOff>647700</xdr:colOff>
      <xdr:row>3</xdr:row>
      <xdr:rowOff>114301</xdr:rowOff>
    </xdr:from>
    <xdr:to>
      <xdr:col>20</xdr:col>
      <xdr:colOff>657225</xdr:colOff>
      <xdr:row>17</xdr:row>
      <xdr:rowOff>9525</xdr:rowOff>
    </xdr:to>
    <xdr:cxnSp macro="">
      <xdr:nvCxnSpPr>
        <xdr:cNvPr id="6" name="Straight Arrow Connector 5"/>
        <xdr:cNvCxnSpPr/>
      </xdr:nvCxnSpPr>
      <xdr:spPr>
        <a:xfrm flipV="1">
          <a:off x="22002750" y="981076"/>
          <a:ext cx="9525" cy="2609849"/>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352427</xdr:colOff>
      <xdr:row>3</xdr:row>
      <xdr:rowOff>19048</xdr:rowOff>
    </xdr:from>
    <xdr:to>
      <xdr:col>20</xdr:col>
      <xdr:colOff>676278</xdr:colOff>
      <xdr:row>16</xdr:row>
      <xdr:rowOff>28575</xdr:rowOff>
    </xdr:to>
    <xdr:sp macro="" textlink="">
      <xdr:nvSpPr>
        <xdr:cNvPr id="7" name="TextBox 6"/>
        <xdr:cNvSpPr txBox="1"/>
      </xdr:nvSpPr>
      <xdr:spPr>
        <a:xfrm rot="16200000">
          <a:off x="20602577" y="1990723"/>
          <a:ext cx="2533652" cy="323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ln>
                <a:solidFill>
                  <a:sysClr val="windowText" lastClr="000000"/>
                </a:solidFill>
              </a:ln>
              <a:noFill/>
            </a:rPr>
            <a:t>Decreasing Mod Efficiency</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847724</xdr:colOff>
      <xdr:row>7</xdr:row>
      <xdr:rowOff>9525</xdr:rowOff>
    </xdr:from>
    <xdr:to>
      <xdr:col>10</xdr:col>
      <xdr:colOff>0</xdr:colOff>
      <xdr:row>10</xdr:row>
      <xdr:rowOff>9525</xdr:rowOff>
    </xdr:to>
    <xdr:sp macro="" textlink="">
      <xdr:nvSpPr>
        <xdr:cNvPr id="2" name="TextBox 1"/>
        <xdr:cNvSpPr txBox="1"/>
      </xdr:nvSpPr>
      <xdr:spPr>
        <a:xfrm>
          <a:off x="6553199" y="1438275"/>
          <a:ext cx="339090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t>Type A: Hilly with moderate to heavy tree density</a:t>
          </a:r>
        </a:p>
        <a:p>
          <a:r>
            <a:rPr lang="en-US" sz="1050" b="1"/>
            <a:t>Type</a:t>
          </a:r>
          <a:r>
            <a:rPr lang="en-US" sz="1050" b="1" baseline="0"/>
            <a:t> B : Hilly with light tree density or flat with moderate to heavy tree density</a:t>
          </a:r>
        </a:p>
        <a:p>
          <a:r>
            <a:rPr lang="en-US" sz="1050" b="1" baseline="0"/>
            <a:t>Type C : Flat with light tree density</a:t>
          </a:r>
          <a:endParaRPr lang="en-US" sz="1050" b="1"/>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17</xdr:col>
      <xdr:colOff>111163</xdr:colOff>
      <xdr:row>42</xdr:row>
      <xdr:rowOff>179922</xdr:rowOff>
    </xdr:from>
    <xdr:to>
      <xdr:col>22</xdr:col>
      <xdr:colOff>460413</xdr:colOff>
      <xdr:row>55</xdr:row>
      <xdr:rowOff>65622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120689</xdr:colOff>
      <xdr:row>55</xdr:row>
      <xdr:rowOff>170397</xdr:rowOff>
    </xdr:from>
    <xdr:to>
      <xdr:col>22</xdr:col>
      <xdr:colOff>469939</xdr:colOff>
      <xdr:row>70</xdr:row>
      <xdr:rowOff>56097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22</xdr:col>
      <xdr:colOff>732405</xdr:colOff>
      <xdr:row>42</xdr:row>
      <xdr:rowOff>189445</xdr:rowOff>
    </xdr:from>
    <xdr:to>
      <xdr:col>28</xdr:col>
      <xdr:colOff>224404</xdr:colOff>
      <xdr:row>55</xdr:row>
      <xdr:rowOff>75145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17</xdr:col>
      <xdr:colOff>105872</xdr:colOff>
      <xdr:row>72</xdr:row>
      <xdr:rowOff>179930</xdr:rowOff>
    </xdr:from>
    <xdr:to>
      <xdr:col>22</xdr:col>
      <xdr:colOff>455122</xdr:colOff>
      <xdr:row>84</xdr:row>
      <xdr:rowOff>65630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23</xdr:col>
      <xdr:colOff>95273</xdr:colOff>
      <xdr:row>163</xdr:row>
      <xdr:rowOff>21181</xdr:rowOff>
    </xdr:from>
    <xdr:to>
      <xdr:col>28</xdr:col>
      <xdr:colOff>433940</xdr:colOff>
      <xdr:row>174</xdr:row>
      <xdr:rowOff>97381</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28</xdr:col>
      <xdr:colOff>666772</xdr:colOff>
      <xdr:row>163</xdr:row>
      <xdr:rowOff>14</xdr:rowOff>
    </xdr:from>
    <xdr:to>
      <xdr:col>34</xdr:col>
      <xdr:colOff>158772</xdr:colOff>
      <xdr:row>174</xdr:row>
      <xdr:rowOff>76214</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22</xdr:col>
      <xdr:colOff>730288</xdr:colOff>
      <xdr:row>73</xdr:row>
      <xdr:rowOff>10596</xdr:rowOff>
    </xdr:from>
    <xdr:to>
      <xdr:col>28</xdr:col>
      <xdr:colOff>222288</xdr:colOff>
      <xdr:row>84</xdr:row>
      <xdr:rowOff>86796</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433918</xdr:colOff>
      <xdr:row>7</xdr:row>
      <xdr:rowOff>123995</xdr:rowOff>
    </xdr:from>
    <xdr:to>
      <xdr:col>10</xdr:col>
      <xdr:colOff>565659</xdr:colOff>
      <xdr:row>11</xdr:row>
      <xdr:rowOff>58136</xdr:rowOff>
    </xdr:to>
    <xdr:sp macro="" textlink="">
      <xdr:nvSpPr>
        <xdr:cNvPr id="11" name="Left Arrow 10"/>
        <xdr:cNvSpPr/>
      </xdr:nvSpPr>
      <xdr:spPr>
        <a:xfrm>
          <a:off x="9387418" y="1785578"/>
          <a:ext cx="978408" cy="89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10</xdr:col>
      <xdr:colOff>158753</xdr:colOff>
      <xdr:row>6</xdr:row>
      <xdr:rowOff>243413</xdr:rowOff>
    </xdr:from>
    <xdr:to>
      <xdr:col>13</xdr:col>
      <xdr:colOff>370420</xdr:colOff>
      <xdr:row>12</xdr:row>
      <xdr:rowOff>126996</xdr:rowOff>
    </xdr:to>
    <xdr:sp macro="" textlink="">
      <xdr:nvSpPr>
        <xdr:cNvPr id="10" name="TextBox 9"/>
        <xdr:cNvSpPr txBox="1"/>
      </xdr:nvSpPr>
      <xdr:spPr>
        <a:xfrm>
          <a:off x="9958920" y="1523996"/>
          <a:ext cx="2751667" cy="1418167"/>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a:t>All of  these values,</a:t>
          </a:r>
          <a:r>
            <a:rPr lang="en-US" sz="2000" baseline="0"/>
            <a:t> except BS-to-BS spacing,</a:t>
          </a:r>
          <a:r>
            <a:rPr lang="en-US" sz="2000"/>
            <a:t> transfer from Worksheet 1, 1a, or 2</a:t>
          </a:r>
        </a:p>
      </xdr:txBody>
    </xdr:sp>
    <xdr:clientData/>
  </xdr:twoCellAnchor>
  <xdr:twoCellAnchor>
    <xdr:from>
      <xdr:col>9</xdr:col>
      <xdr:colOff>84667</xdr:colOff>
      <xdr:row>2</xdr:row>
      <xdr:rowOff>0</xdr:rowOff>
    </xdr:from>
    <xdr:to>
      <xdr:col>9</xdr:col>
      <xdr:colOff>402167</xdr:colOff>
      <xdr:row>18</xdr:row>
      <xdr:rowOff>10583</xdr:rowOff>
    </xdr:to>
    <xdr:sp macro="" textlink="">
      <xdr:nvSpPr>
        <xdr:cNvPr id="12" name="Right Brace 11"/>
        <xdr:cNvSpPr/>
      </xdr:nvSpPr>
      <xdr:spPr>
        <a:xfrm>
          <a:off x="9038167" y="275167"/>
          <a:ext cx="317500" cy="3259666"/>
        </a:xfrm>
        <a:prstGeom prst="rightBrace">
          <a:avLst>
            <a:gd name="adj1" fmla="val 8333"/>
            <a:gd name="adj2" fmla="val 49787"/>
          </a:avLst>
        </a:prstGeom>
        <a:ln w="25400"/>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editAs="absolute">
    <xdr:from>
      <xdr:col>17</xdr:col>
      <xdr:colOff>105725</xdr:colOff>
      <xdr:row>103</xdr:row>
      <xdr:rowOff>1</xdr:rowOff>
    </xdr:from>
    <xdr:to>
      <xdr:col>22</xdr:col>
      <xdr:colOff>454975</xdr:colOff>
      <xdr:row>114</xdr:row>
      <xdr:rowOff>76201</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22</xdr:col>
      <xdr:colOff>761890</xdr:colOff>
      <xdr:row>103</xdr:row>
      <xdr:rowOff>42334</xdr:rowOff>
    </xdr:from>
    <xdr:to>
      <xdr:col>28</xdr:col>
      <xdr:colOff>253891</xdr:colOff>
      <xdr:row>114</xdr:row>
      <xdr:rowOff>116418</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17</xdr:col>
      <xdr:colOff>95274</xdr:colOff>
      <xdr:row>133</xdr:row>
      <xdr:rowOff>0</xdr:rowOff>
    </xdr:from>
    <xdr:to>
      <xdr:col>22</xdr:col>
      <xdr:colOff>444524</xdr:colOff>
      <xdr:row>144</xdr:row>
      <xdr:rowOff>76200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22</xdr:col>
      <xdr:colOff>698523</xdr:colOff>
      <xdr:row>133</xdr:row>
      <xdr:rowOff>21167</xdr:rowOff>
    </xdr:from>
    <xdr:to>
      <xdr:col>28</xdr:col>
      <xdr:colOff>190524</xdr:colOff>
      <xdr:row>144</xdr:row>
      <xdr:rowOff>95251</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31749</xdr:colOff>
      <xdr:row>19</xdr:row>
      <xdr:rowOff>116425</xdr:rowOff>
    </xdr:from>
    <xdr:to>
      <xdr:col>10</xdr:col>
      <xdr:colOff>163490</xdr:colOff>
      <xdr:row>24</xdr:row>
      <xdr:rowOff>61150</xdr:rowOff>
    </xdr:to>
    <xdr:sp macro="" textlink="">
      <xdr:nvSpPr>
        <xdr:cNvPr id="18" name="Left Arrow 17"/>
        <xdr:cNvSpPr/>
      </xdr:nvSpPr>
      <xdr:spPr>
        <a:xfrm>
          <a:off x="8985249" y="4085175"/>
          <a:ext cx="978408" cy="89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46570</xdr:colOff>
      <xdr:row>28</xdr:row>
      <xdr:rowOff>25368</xdr:rowOff>
    </xdr:from>
    <xdr:to>
      <xdr:col>10</xdr:col>
      <xdr:colOff>178311</xdr:colOff>
      <xdr:row>32</xdr:row>
      <xdr:rowOff>160593</xdr:rowOff>
    </xdr:to>
    <xdr:sp macro="" textlink="">
      <xdr:nvSpPr>
        <xdr:cNvPr id="19" name="Left Arrow 18"/>
        <xdr:cNvSpPr/>
      </xdr:nvSpPr>
      <xdr:spPr>
        <a:xfrm>
          <a:off x="9000070" y="5528701"/>
          <a:ext cx="978408" cy="89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10</xdr:col>
      <xdr:colOff>148163</xdr:colOff>
      <xdr:row>19</xdr:row>
      <xdr:rowOff>31767</xdr:rowOff>
    </xdr:from>
    <xdr:to>
      <xdr:col>13</xdr:col>
      <xdr:colOff>328087</xdr:colOff>
      <xdr:row>24</xdr:row>
      <xdr:rowOff>127001</xdr:rowOff>
    </xdr:to>
    <xdr:sp macro="" textlink="">
      <xdr:nvSpPr>
        <xdr:cNvPr id="20" name="TextBox 19"/>
        <xdr:cNvSpPr txBox="1"/>
      </xdr:nvSpPr>
      <xdr:spPr>
        <a:xfrm>
          <a:off x="9948330" y="4000517"/>
          <a:ext cx="2719924" cy="1047734"/>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a:t>Uplink </a:t>
          </a:r>
          <a:r>
            <a:rPr lang="en-US" sz="2000" baseline="0"/>
            <a:t>channel or sector data rate at maximum range</a:t>
          </a:r>
          <a:endParaRPr lang="en-US" sz="2000"/>
        </a:p>
      </xdr:txBody>
    </xdr:sp>
    <xdr:clientData/>
  </xdr:twoCellAnchor>
  <xdr:twoCellAnchor>
    <xdr:from>
      <xdr:col>10</xdr:col>
      <xdr:colOff>152401</xdr:colOff>
      <xdr:row>26</xdr:row>
      <xdr:rowOff>152381</xdr:rowOff>
    </xdr:from>
    <xdr:to>
      <xdr:col>13</xdr:col>
      <xdr:colOff>332325</xdr:colOff>
      <xdr:row>35</xdr:row>
      <xdr:rowOff>5</xdr:rowOff>
    </xdr:to>
    <xdr:sp macro="" textlink="">
      <xdr:nvSpPr>
        <xdr:cNvPr id="21" name="TextBox 20"/>
        <xdr:cNvSpPr txBox="1"/>
      </xdr:nvSpPr>
      <xdr:spPr>
        <a:xfrm>
          <a:off x="9952568" y="5264131"/>
          <a:ext cx="2719924" cy="139279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a:t>Uplink </a:t>
          </a:r>
          <a:r>
            <a:rPr lang="en-US" sz="2000" baseline="0"/>
            <a:t>cell data rate for a specific BS-to-BS spacing  assuming 3-sector cell site</a:t>
          </a:r>
          <a:endParaRPr lang="en-US" sz="2000"/>
        </a:p>
      </xdr:txBody>
    </xdr:sp>
    <xdr:clientData/>
  </xdr:twoCellAnchor>
  <xdr:twoCellAnchor>
    <xdr:from>
      <xdr:col>7</xdr:col>
      <xdr:colOff>328083</xdr:colOff>
      <xdr:row>192</xdr:row>
      <xdr:rowOff>179917</xdr:rowOff>
    </xdr:from>
    <xdr:to>
      <xdr:col>12</xdr:col>
      <xdr:colOff>666750</xdr:colOff>
      <xdr:row>204</xdr:row>
      <xdr:rowOff>65617</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13</xdr:col>
      <xdr:colOff>0</xdr:colOff>
      <xdr:row>193</xdr:row>
      <xdr:rowOff>0</xdr:rowOff>
    </xdr:from>
    <xdr:to>
      <xdr:col>18</xdr:col>
      <xdr:colOff>349250</xdr:colOff>
      <xdr:row>204</xdr:row>
      <xdr:rowOff>76200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21</xdr:col>
      <xdr:colOff>15889</xdr:colOff>
      <xdr:row>44</xdr:row>
      <xdr:rowOff>412736</xdr:rowOff>
    </xdr:from>
    <xdr:to>
      <xdr:col>26</xdr:col>
      <xdr:colOff>365139</xdr:colOff>
      <xdr:row>58</xdr:row>
      <xdr:rowOff>107936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20</xdr:col>
      <xdr:colOff>840332</xdr:colOff>
      <xdr:row>59</xdr:row>
      <xdr:rowOff>22211</xdr:rowOff>
    </xdr:from>
    <xdr:to>
      <xdr:col>26</xdr:col>
      <xdr:colOff>342915</xdr:colOff>
      <xdr:row>73</xdr:row>
      <xdr:rowOff>98411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26</xdr:col>
      <xdr:colOff>795881</xdr:colOff>
      <xdr:row>44</xdr:row>
      <xdr:rowOff>411676</xdr:rowOff>
    </xdr:from>
    <xdr:to>
      <xdr:col>32</xdr:col>
      <xdr:colOff>287881</xdr:colOff>
      <xdr:row>58</xdr:row>
      <xdr:rowOff>106876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21</xdr:col>
      <xdr:colOff>10598</xdr:colOff>
      <xdr:row>74</xdr:row>
      <xdr:rowOff>222244</xdr:rowOff>
    </xdr:from>
    <xdr:to>
      <xdr:col>26</xdr:col>
      <xdr:colOff>359848</xdr:colOff>
      <xdr:row>87</xdr:row>
      <xdr:rowOff>107944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28</xdr:col>
      <xdr:colOff>0</xdr:colOff>
      <xdr:row>164</xdr:row>
      <xdr:rowOff>253995</xdr:rowOff>
    </xdr:from>
    <xdr:to>
      <xdr:col>33</xdr:col>
      <xdr:colOff>338667</xdr:colOff>
      <xdr:row>177</xdr:row>
      <xdr:rowOff>139695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33</xdr:col>
      <xdr:colOff>571499</xdr:colOff>
      <xdr:row>164</xdr:row>
      <xdr:rowOff>232828</xdr:rowOff>
    </xdr:from>
    <xdr:to>
      <xdr:col>39</xdr:col>
      <xdr:colOff>296332</xdr:colOff>
      <xdr:row>177</xdr:row>
      <xdr:rowOff>118528</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27</xdr:col>
      <xdr:colOff>31764</xdr:colOff>
      <xdr:row>74</xdr:row>
      <xdr:rowOff>243410</xdr:rowOff>
    </xdr:from>
    <xdr:to>
      <xdr:col>32</xdr:col>
      <xdr:colOff>370431</xdr:colOff>
      <xdr:row>87</xdr:row>
      <xdr:rowOff>129110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455111</xdr:colOff>
      <xdr:row>7</xdr:row>
      <xdr:rowOff>134578</xdr:rowOff>
    </xdr:from>
    <xdr:to>
      <xdr:col>11</xdr:col>
      <xdr:colOff>586852</xdr:colOff>
      <xdr:row>11</xdr:row>
      <xdr:rowOff>68719</xdr:rowOff>
    </xdr:to>
    <xdr:sp macro="" textlink="">
      <xdr:nvSpPr>
        <xdr:cNvPr id="9" name="Left Arrow 8"/>
        <xdr:cNvSpPr/>
      </xdr:nvSpPr>
      <xdr:spPr>
        <a:xfrm>
          <a:off x="9408611" y="1796161"/>
          <a:ext cx="1825074" cy="89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11</xdr:col>
      <xdr:colOff>179946</xdr:colOff>
      <xdr:row>6</xdr:row>
      <xdr:rowOff>253996</xdr:rowOff>
    </xdr:from>
    <xdr:to>
      <xdr:col>14</xdr:col>
      <xdr:colOff>391613</xdr:colOff>
      <xdr:row>12</xdr:row>
      <xdr:rowOff>137579</xdr:rowOff>
    </xdr:to>
    <xdr:sp macro="" textlink="">
      <xdr:nvSpPr>
        <xdr:cNvPr id="10" name="TextBox 9"/>
        <xdr:cNvSpPr txBox="1"/>
      </xdr:nvSpPr>
      <xdr:spPr>
        <a:xfrm>
          <a:off x="10826779" y="1534579"/>
          <a:ext cx="2751667" cy="1418167"/>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a:t>All of  these values,</a:t>
          </a:r>
          <a:r>
            <a:rPr lang="en-US" sz="2000" baseline="0"/>
            <a:t> except BS-to-BS spacing,</a:t>
          </a:r>
          <a:r>
            <a:rPr lang="en-US" sz="2000"/>
            <a:t> transfer from Worksheet 1,</a:t>
          </a:r>
          <a:r>
            <a:rPr lang="en-US" sz="2000" baseline="0"/>
            <a:t> 1a, or </a:t>
          </a:r>
          <a:r>
            <a:rPr lang="en-US" sz="2000"/>
            <a:t>2</a:t>
          </a:r>
        </a:p>
      </xdr:txBody>
    </xdr:sp>
    <xdr:clientData/>
  </xdr:twoCellAnchor>
  <xdr:twoCellAnchor>
    <xdr:from>
      <xdr:col>9</xdr:col>
      <xdr:colOff>105860</xdr:colOff>
      <xdr:row>2</xdr:row>
      <xdr:rowOff>10583</xdr:rowOff>
    </xdr:from>
    <xdr:to>
      <xdr:col>9</xdr:col>
      <xdr:colOff>423360</xdr:colOff>
      <xdr:row>18</xdr:row>
      <xdr:rowOff>21166</xdr:rowOff>
    </xdr:to>
    <xdr:sp macro="" textlink="">
      <xdr:nvSpPr>
        <xdr:cNvPr id="11" name="Right Brace 10"/>
        <xdr:cNvSpPr/>
      </xdr:nvSpPr>
      <xdr:spPr>
        <a:xfrm>
          <a:off x="9059360" y="529166"/>
          <a:ext cx="317500" cy="3450167"/>
        </a:xfrm>
        <a:prstGeom prst="rightBrace">
          <a:avLst>
            <a:gd name="adj1" fmla="val 8333"/>
            <a:gd name="adj2" fmla="val 49787"/>
          </a:avLst>
        </a:prstGeom>
        <a:ln w="25400"/>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editAs="absolute">
    <xdr:from>
      <xdr:col>21</xdr:col>
      <xdr:colOff>10451</xdr:colOff>
      <xdr:row>104</xdr:row>
      <xdr:rowOff>232815</xdr:rowOff>
    </xdr:from>
    <xdr:to>
      <xdr:col>26</xdr:col>
      <xdr:colOff>359701</xdr:colOff>
      <xdr:row>117</xdr:row>
      <xdr:rowOff>118515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absolute">
    <xdr:from>
      <xdr:col>27</xdr:col>
      <xdr:colOff>52783</xdr:colOff>
      <xdr:row>104</xdr:row>
      <xdr:rowOff>243398</xdr:rowOff>
    </xdr:from>
    <xdr:to>
      <xdr:col>32</xdr:col>
      <xdr:colOff>391451</xdr:colOff>
      <xdr:row>117</xdr:row>
      <xdr:rowOff>126982</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21</xdr:col>
      <xdr:colOff>0</xdr:colOff>
      <xdr:row>134</xdr:row>
      <xdr:rowOff>232814</xdr:rowOff>
    </xdr:from>
    <xdr:to>
      <xdr:col>26</xdr:col>
      <xdr:colOff>349250</xdr:colOff>
      <xdr:row>147</xdr:row>
      <xdr:rowOff>118514</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27</xdr:col>
      <xdr:colOff>603249</xdr:colOff>
      <xdr:row>134</xdr:row>
      <xdr:rowOff>253981</xdr:rowOff>
    </xdr:from>
    <xdr:to>
      <xdr:col>33</xdr:col>
      <xdr:colOff>95251</xdr:colOff>
      <xdr:row>147</xdr:row>
      <xdr:rowOff>137565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52942</xdr:colOff>
      <xdr:row>19</xdr:row>
      <xdr:rowOff>116425</xdr:rowOff>
    </xdr:from>
    <xdr:to>
      <xdr:col>11</xdr:col>
      <xdr:colOff>184683</xdr:colOff>
      <xdr:row>24</xdr:row>
      <xdr:rowOff>61150</xdr:rowOff>
    </xdr:to>
    <xdr:sp macro="" textlink="">
      <xdr:nvSpPr>
        <xdr:cNvPr id="16" name="Left Arrow 15"/>
        <xdr:cNvSpPr/>
      </xdr:nvSpPr>
      <xdr:spPr>
        <a:xfrm>
          <a:off x="9006442" y="4085175"/>
          <a:ext cx="1825074" cy="89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9</xdr:col>
      <xdr:colOff>67763</xdr:colOff>
      <xdr:row>28</xdr:row>
      <xdr:rowOff>25368</xdr:rowOff>
    </xdr:from>
    <xdr:to>
      <xdr:col>11</xdr:col>
      <xdr:colOff>199504</xdr:colOff>
      <xdr:row>32</xdr:row>
      <xdr:rowOff>160593</xdr:rowOff>
    </xdr:to>
    <xdr:sp macro="" textlink="">
      <xdr:nvSpPr>
        <xdr:cNvPr id="17" name="Left Arrow 16"/>
        <xdr:cNvSpPr/>
      </xdr:nvSpPr>
      <xdr:spPr>
        <a:xfrm>
          <a:off x="9021263" y="5528701"/>
          <a:ext cx="1825074" cy="89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11</xdr:col>
      <xdr:colOff>169356</xdr:colOff>
      <xdr:row>19</xdr:row>
      <xdr:rowOff>31767</xdr:rowOff>
    </xdr:from>
    <xdr:to>
      <xdr:col>14</xdr:col>
      <xdr:colOff>349280</xdr:colOff>
      <xdr:row>24</xdr:row>
      <xdr:rowOff>127001</xdr:rowOff>
    </xdr:to>
    <xdr:sp macro="" textlink="">
      <xdr:nvSpPr>
        <xdr:cNvPr id="18" name="TextBox 17"/>
        <xdr:cNvSpPr txBox="1"/>
      </xdr:nvSpPr>
      <xdr:spPr>
        <a:xfrm>
          <a:off x="10816189" y="4000517"/>
          <a:ext cx="2719924" cy="1047734"/>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a:t>Uplink </a:t>
          </a:r>
          <a:r>
            <a:rPr lang="en-US" sz="2000" baseline="0"/>
            <a:t>channel or sector spectral efficiency at maximum range</a:t>
          </a:r>
          <a:endParaRPr lang="en-US" sz="2000"/>
        </a:p>
      </xdr:txBody>
    </xdr:sp>
    <xdr:clientData/>
  </xdr:twoCellAnchor>
  <xdr:twoCellAnchor>
    <xdr:from>
      <xdr:col>11</xdr:col>
      <xdr:colOff>169359</xdr:colOff>
      <xdr:row>26</xdr:row>
      <xdr:rowOff>31753</xdr:rowOff>
    </xdr:from>
    <xdr:to>
      <xdr:col>14</xdr:col>
      <xdr:colOff>349277</xdr:colOff>
      <xdr:row>35</xdr:row>
      <xdr:rowOff>222252</xdr:rowOff>
    </xdr:to>
    <xdr:sp macro="" textlink="">
      <xdr:nvSpPr>
        <xdr:cNvPr id="19" name="TextBox 18"/>
        <xdr:cNvSpPr txBox="1"/>
      </xdr:nvSpPr>
      <xdr:spPr>
        <a:xfrm>
          <a:off x="10816192" y="5143503"/>
          <a:ext cx="2719918" cy="173566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000"/>
            <a:t>Uplink </a:t>
          </a:r>
          <a:r>
            <a:rPr lang="en-US" sz="2000" baseline="0"/>
            <a:t>cell spectral efficiency for a specific cell spacing.  Assumes 3-sector cell site &amp; takes account reuse factor</a:t>
          </a:r>
          <a:endParaRPr lang="en-US" sz="2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ocuments%20and%20Settings\Douglas\My%20Documents\TelConsulting\WiMAX%20Projects\Mobile%20WiMAX\Mobile%20Business%20Case\Business%20Case%20Model%20-%20Generic\Archive\Mobile%20Bus%20Case%20Model%20v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oug%20Gray/AppData/Roaming/Microsoft/Excel/Copy%20of%20Frmwrk-Tool-Dtls-r0.2b.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ervices_&amp;_Customer_Mix"/>
      <sheetName val="2.0 Demographics_&amp;_Req_Capacity"/>
      <sheetName val="3.0 CAPEX_and_OPEX"/>
      <sheetName val="4.0 Financial_Summary"/>
      <sheetName val="5.0 Sensitivity_Analysis"/>
      <sheetName val="6.0 Interference_Ltd_DD_2.5GHz"/>
      <sheetName val="7.0 Noise+Int Ltd DD_2.5GHz"/>
      <sheetName val="8.0 Intel_Range_Calculations"/>
    </sheetNames>
    <sheetDataSet>
      <sheetData sheetId="0" refreshError="1"/>
      <sheetData sheetId="1">
        <row r="31">
          <cell r="C31">
            <v>600</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USA-states"/>
      <sheetName val="2-model-area"/>
      <sheetName val="3-SG-Net-Rqmts-addlt-input"/>
      <sheetName val="4-SG-Net-Rqmts-base"/>
      <sheetName val="5-SG-Net-Rqmts-addlt-load"/>
      <sheetName val="6-RF-Model-SG-Inputs"/>
      <sheetName val="7-RF-Model-Outputs"/>
      <sheetName val="8-Sum-Outputs"/>
    </sheetNames>
    <sheetDataSet>
      <sheetData sheetId="0">
        <row r="4">
          <cell r="E4">
            <v>0.11004579952888242</v>
          </cell>
          <cell r="F4">
            <v>0.11509934472294457</v>
          </cell>
          <cell r="G4">
            <v>5.0820646397932716E-4</v>
          </cell>
          <cell r="H4" t="str">
            <v>tbd</v>
          </cell>
          <cell r="I4" t="str">
            <v>tbd</v>
          </cell>
          <cell r="J4" t="str">
            <v>tbd</v>
          </cell>
        </row>
        <row r="5">
          <cell r="E5">
            <v>0.34676848280212075</v>
          </cell>
          <cell r="F5">
            <v>0.34309977887634052</v>
          </cell>
          <cell r="G5">
            <v>6.3224267036522726E-3</v>
          </cell>
          <cell r="H5" t="str">
            <v>tbd</v>
          </cell>
          <cell r="I5" t="str">
            <v>tbd</v>
          </cell>
          <cell r="J5" t="str">
            <v>tbd</v>
          </cell>
        </row>
        <row r="6">
          <cell r="E6">
            <v>0.30686136070140219</v>
          </cell>
          <cell r="F6">
            <v>0.29769103797812574</v>
          </cell>
          <cell r="G6">
            <v>3.2481398146060644E-2</v>
          </cell>
          <cell r="H6" t="str">
            <v>tbd</v>
          </cell>
          <cell r="I6" t="str">
            <v>tbd</v>
          </cell>
          <cell r="J6" t="str">
            <v>tbd</v>
          </cell>
        </row>
        <row r="7">
          <cell r="E7">
            <v>0.16997223443718193</v>
          </cell>
          <cell r="F7">
            <v>0.17600878357712327</v>
          </cell>
          <cell r="G7">
            <v>0.22714742758765183</v>
          </cell>
          <cell r="H7" t="str">
            <v>tbd</v>
          </cell>
          <cell r="I7" t="str">
            <v>tbd</v>
          </cell>
          <cell r="J7" t="str">
            <v>tbd</v>
          </cell>
        </row>
        <row r="8">
          <cell r="E8">
            <v>4.1862479337015784E-2</v>
          </cell>
          <cell r="F8">
            <v>4.6550515915997355E-2</v>
          </cell>
          <cell r="G8">
            <v>0.72267346369955687</v>
          </cell>
          <cell r="H8" t="str">
            <v>tbd</v>
          </cell>
          <cell r="I8" t="str">
            <v>tbd</v>
          </cell>
          <cell r="J8" t="str">
            <v>tbd</v>
          </cell>
        </row>
        <row r="10">
          <cell r="E10">
            <v>285133064</v>
          </cell>
          <cell r="F10">
            <v>117322588</v>
          </cell>
          <cell r="G10">
            <v>3535067</v>
          </cell>
          <cell r="H10" t="str">
            <v>tbd</v>
          </cell>
          <cell r="I10" t="str">
            <v>tbd</v>
          </cell>
          <cell r="J10" t="str">
            <v>tbd</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71"/>
  <sheetViews>
    <sheetView topLeftCell="A53" workbookViewId="0">
      <selection activeCell="C61" sqref="C61"/>
    </sheetView>
  </sheetViews>
  <sheetFormatPr defaultRowHeight="15"/>
  <cols>
    <col min="1" max="2" width="10.7109375" customWidth="1"/>
    <col min="3" max="3" width="70.85546875" customWidth="1"/>
    <col min="4" max="4" width="11.85546875" customWidth="1"/>
  </cols>
  <sheetData>
    <row r="1" spans="1:4" ht="15.75">
      <c r="A1" s="184" t="s">
        <v>140</v>
      </c>
      <c r="B1" s="184" t="s">
        <v>141</v>
      </c>
      <c r="C1" s="184" t="s">
        <v>142</v>
      </c>
      <c r="D1" s="87" t="s">
        <v>156</v>
      </c>
    </row>
    <row r="2" spans="1:4">
      <c r="A2" s="58" t="s">
        <v>143</v>
      </c>
      <c r="B2" s="181">
        <v>40761</v>
      </c>
      <c r="C2" s="177" t="s">
        <v>148</v>
      </c>
      <c r="D2" s="182" t="s">
        <v>157</v>
      </c>
    </row>
    <row r="3" spans="1:4" ht="17.25" customHeight="1">
      <c r="A3" s="179"/>
      <c r="B3" s="179"/>
      <c r="C3" s="178" t="s">
        <v>147</v>
      </c>
      <c r="D3" s="183" t="s">
        <v>157</v>
      </c>
    </row>
    <row r="4" spans="1:4" ht="46.5" customHeight="1">
      <c r="A4" s="179"/>
      <c r="B4" s="179"/>
      <c r="C4" s="178" t="s">
        <v>155</v>
      </c>
      <c r="D4" s="183" t="s">
        <v>157</v>
      </c>
    </row>
    <row r="5" spans="1:4">
      <c r="A5" s="182" t="s">
        <v>158</v>
      </c>
      <c r="B5" s="187">
        <v>40766</v>
      </c>
      <c r="C5" s="188" t="s">
        <v>161</v>
      </c>
      <c r="D5" s="182" t="s">
        <v>157</v>
      </c>
    </row>
    <row r="6" spans="1:4" ht="30">
      <c r="A6" s="180"/>
      <c r="B6" s="180"/>
      <c r="C6" s="189" t="s">
        <v>165</v>
      </c>
      <c r="D6" s="190" t="s">
        <v>157</v>
      </c>
    </row>
    <row r="7" spans="1:4">
      <c r="A7" s="23" t="s">
        <v>166</v>
      </c>
      <c r="B7" s="195">
        <v>40770</v>
      </c>
      <c r="C7" s="196" t="s">
        <v>167</v>
      </c>
      <c r="D7" s="197" t="s">
        <v>157</v>
      </c>
    </row>
    <row r="8" spans="1:4" ht="30">
      <c r="A8" s="182" t="s">
        <v>175</v>
      </c>
      <c r="B8" s="187">
        <v>40771</v>
      </c>
      <c r="C8" s="188" t="s">
        <v>176</v>
      </c>
      <c r="D8" s="239" t="s">
        <v>157</v>
      </c>
    </row>
    <row r="9" spans="1:4" ht="45">
      <c r="A9" s="179"/>
      <c r="B9" s="274"/>
      <c r="C9" s="276" t="s">
        <v>177</v>
      </c>
      <c r="D9" s="262" t="s">
        <v>157</v>
      </c>
    </row>
    <row r="10" spans="1:4">
      <c r="A10" s="182" t="s">
        <v>191</v>
      </c>
      <c r="B10" s="187">
        <v>40773</v>
      </c>
      <c r="C10" s="275" t="s">
        <v>242</v>
      </c>
      <c r="D10" s="239" t="s">
        <v>157</v>
      </c>
    </row>
    <row r="11" spans="1:4" ht="30">
      <c r="A11" s="274"/>
      <c r="B11" s="274"/>
      <c r="C11" s="276" t="s">
        <v>228</v>
      </c>
      <c r="D11" s="262" t="s">
        <v>157</v>
      </c>
    </row>
    <row r="12" spans="1:4">
      <c r="A12" s="274"/>
      <c r="B12" s="274"/>
      <c r="C12" s="276" t="s">
        <v>243</v>
      </c>
      <c r="D12" s="262" t="s">
        <v>157</v>
      </c>
    </row>
    <row r="13" spans="1:4" ht="30">
      <c r="A13" s="274"/>
      <c r="B13" s="274"/>
      <c r="C13" s="276" t="s">
        <v>225</v>
      </c>
      <c r="D13" s="262" t="s">
        <v>157</v>
      </c>
    </row>
    <row r="14" spans="1:4" ht="45">
      <c r="A14" s="274"/>
      <c r="B14" s="274"/>
      <c r="C14" s="276" t="s">
        <v>244</v>
      </c>
      <c r="D14" s="262" t="s">
        <v>157</v>
      </c>
    </row>
    <row r="15" spans="1:4">
      <c r="A15" s="238"/>
      <c r="B15" s="238"/>
      <c r="C15" s="282" t="s">
        <v>245</v>
      </c>
      <c r="D15" s="283" t="s">
        <v>157</v>
      </c>
    </row>
    <row r="16" spans="1:4" ht="30">
      <c r="A16" s="182" t="s">
        <v>249</v>
      </c>
      <c r="B16" s="296">
        <v>40778</v>
      </c>
      <c r="C16" s="297" t="s">
        <v>250</v>
      </c>
      <c r="D16" s="239" t="s">
        <v>157</v>
      </c>
    </row>
    <row r="17" spans="1:4" ht="30">
      <c r="A17" s="274"/>
      <c r="B17" s="274"/>
      <c r="C17" s="298" t="s">
        <v>251</v>
      </c>
      <c r="D17" s="262" t="s">
        <v>157</v>
      </c>
    </row>
    <row r="18" spans="1:4" ht="45">
      <c r="A18" s="238"/>
      <c r="B18" s="238"/>
      <c r="C18" s="282" t="s">
        <v>252</v>
      </c>
      <c r="D18" s="283" t="s">
        <v>157</v>
      </c>
    </row>
    <row r="19" spans="1:4" ht="45">
      <c r="A19" s="299" t="s">
        <v>253</v>
      </c>
      <c r="B19" s="300">
        <v>40783</v>
      </c>
      <c r="C19" s="301" t="s">
        <v>254</v>
      </c>
      <c r="D19" s="197" t="s">
        <v>157</v>
      </c>
    </row>
    <row r="20" spans="1:4">
      <c r="A20" s="182" t="s">
        <v>255</v>
      </c>
      <c r="B20" s="187">
        <v>40786</v>
      </c>
      <c r="C20" s="308" t="s">
        <v>256</v>
      </c>
      <c r="D20" s="239" t="s">
        <v>157</v>
      </c>
    </row>
    <row r="21" spans="1:4" ht="30">
      <c r="A21" s="183"/>
      <c r="B21" s="320"/>
      <c r="C21" s="322" t="s">
        <v>258</v>
      </c>
      <c r="D21" s="262" t="s">
        <v>157</v>
      </c>
    </row>
    <row r="22" spans="1:4" ht="30">
      <c r="A22" s="183"/>
      <c r="B22" s="320">
        <v>40800</v>
      </c>
      <c r="C22" s="322" t="s">
        <v>265</v>
      </c>
      <c r="D22" s="262" t="s">
        <v>157</v>
      </c>
    </row>
    <row r="23" spans="1:4" ht="30">
      <c r="A23" s="283"/>
      <c r="B23" s="321">
        <v>40809</v>
      </c>
      <c r="C23" s="323" t="s">
        <v>270</v>
      </c>
      <c r="D23" s="190" t="s">
        <v>157</v>
      </c>
    </row>
    <row r="24" spans="1:4">
      <c r="A24" s="182" t="s">
        <v>272</v>
      </c>
      <c r="B24" s="187">
        <v>40818</v>
      </c>
      <c r="C24" s="308" t="s">
        <v>277</v>
      </c>
      <c r="D24" s="239" t="s">
        <v>157</v>
      </c>
    </row>
    <row r="25" spans="1:4">
      <c r="A25" s="283"/>
      <c r="B25" s="321">
        <v>40819</v>
      </c>
      <c r="C25" s="323" t="s">
        <v>281</v>
      </c>
      <c r="D25" s="190" t="s">
        <v>157</v>
      </c>
    </row>
    <row r="26" spans="1:4">
      <c r="A26" s="401" t="s">
        <v>300</v>
      </c>
      <c r="B26" s="187">
        <v>40826</v>
      </c>
      <c r="C26" s="308" t="s">
        <v>304</v>
      </c>
      <c r="D26" s="239" t="s">
        <v>157</v>
      </c>
    </row>
    <row r="27" spans="1:4" ht="30">
      <c r="A27" s="399"/>
      <c r="B27" s="320">
        <v>40828</v>
      </c>
      <c r="C27" s="322" t="s">
        <v>303</v>
      </c>
      <c r="D27" s="262" t="s">
        <v>157</v>
      </c>
    </row>
    <row r="28" spans="1:4" ht="15" customHeight="1">
      <c r="A28" s="399"/>
      <c r="B28" s="320">
        <v>40855</v>
      </c>
      <c r="C28" s="322" t="s">
        <v>305</v>
      </c>
      <c r="D28" s="262" t="s">
        <v>157</v>
      </c>
    </row>
    <row r="29" spans="1:4" ht="15" customHeight="1">
      <c r="A29" s="400"/>
      <c r="B29" s="321">
        <v>40855</v>
      </c>
      <c r="C29" s="323" t="s">
        <v>324</v>
      </c>
      <c r="D29" s="190" t="s">
        <v>157</v>
      </c>
    </row>
    <row r="30" spans="1:4" ht="30" customHeight="1">
      <c r="A30" s="182" t="s">
        <v>327</v>
      </c>
      <c r="B30" s="187">
        <v>40862</v>
      </c>
      <c r="C30" s="308" t="s">
        <v>329</v>
      </c>
      <c r="D30" s="239" t="s">
        <v>157</v>
      </c>
    </row>
    <row r="31" spans="1:4" ht="30">
      <c r="A31" s="283"/>
      <c r="B31" s="321"/>
      <c r="C31" s="323" t="s">
        <v>331</v>
      </c>
      <c r="D31" s="190" t="s">
        <v>157</v>
      </c>
    </row>
    <row r="32" spans="1:4">
      <c r="A32" s="182" t="s">
        <v>333</v>
      </c>
      <c r="B32" s="187">
        <v>40878</v>
      </c>
      <c r="C32" s="308" t="s">
        <v>340</v>
      </c>
      <c r="D32" s="239" t="s">
        <v>157</v>
      </c>
    </row>
    <row r="33" spans="1:4" ht="30">
      <c r="A33" s="283"/>
      <c r="B33" s="321"/>
      <c r="C33" s="323" t="s">
        <v>434</v>
      </c>
      <c r="D33" s="190" t="s">
        <v>157</v>
      </c>
    </row>
    <row r="34" spans="1:4" ht="30">
      <c r="A34" s="182" t="s">
        <v>341</v>
      </c>
      <c r="B34" s="187">
        <v>40889</v>
      </c>
      <c r="C34" s="308" t="s">
        <v>342</v>
      </c>
      <c r="D34" s="239" t="s">
        <v>157</v>
      </c>
    </row>
    <row r="35" spans="1:4">
      <c r="A35" s="183"/>
      <c r="B35" s="320">
        <v>40916</v>
      </c>
      <c r="C35" s="322" t="s">
        <v>440</v>
      </c>
      <c r="D35" s="262" t="s">
        <v>157</v>
      </c>
    </row>
    <row r="36" spans="1:4" ht="30">
      <c r="A36" s="183"/>
      <c r="B36" s="320">
        <v>40924</v>
      </c>
      <c r="C36" s="322" t="s">
        <v>344</v>
      </c>
      <c r="D36" s="262" t="s">
        <v>157</v>
      </c>
    </row>
    <row r="37" spans="1:4">
      <c r="A37" s="283"/>
      <c r="B37" s="321"/>
      <c r="C37" s="323" t="s">
        <v>345</v>
      </c>
      <c r="D37" s="190" t="s">
        <v>157</v>
      </c>
    </row>
    <row r="38" spans="1:4" ht="45">
      <c r="A38" s="182" t="s">
        <v>485</v>
      </c>
      <c r="B38" s="187">
        <v>40954</v>
      </c>
      <c r="C38" s="308" t="s">
        <v>441</v>
      </c>
      <c r="D38" s="239" t="s">
        <v>157</v>
      </c>
    </row>
    <row r="39" spans="1:4" ht="32.25" customHeight="1">
      <c r="A39" s="183"/>
      <c r="B39" s="320">
        <v>40956</v>
      </c>
      <c r="C39" s="322" t="s">
        <v>422</v>
      </c>
      <c r="D39" s="262" t="s">
        <v>157</v>
      </c>
    </row>
    <row r="40" spans="1:4" ht="16.5" customHeight="1">
      <c r="A40" s="183"/>
      <c r="B40" s="527">
        <v>40958</v>
      </c>
      <c r="C40" s="528" t="s">
        <v>423</v>
      </c>
      <c r="D40" s="529" t="s">
        <v>157</v>
      </c>
    </row>
    <row r="41" spans="1:4" ht="16.5" customHeight="1">
      <c r="A41" s="183"/>
      <c r="B41" s="527">
        <v>40969</v>
      </c>
      <c r="C41" s="528" t="s">
        <v>435</v>
      </c>
      <c r="D41" s="529" t="s">
        <v>157</v>
      </c>
    </row>
    <row r="42" spans="1:4">
      <c r="A42" s="183"/>
      <c r="B42" s="320">
        <v>40969</v>
      </c>
      <c r="C42" s="276" t="s">
        <v>452</v>
      </c>
      <c r="D42" s="262" t="s">
        <v>157</v>
      </c>
    </row>
    <row r="43" spans="1:4">
      <c r="A43" s="283"/>
      <c r="B43" s="321">
        <v>40974</v>
      </c>
      <c r="C43" s="189" t="s">
        <v>451</v>
      </c>
      <c r="D43" s="190" t="s">
        <v>157</v>
      </c>
    </row>
    <row r="44" spans="1:4">
      <c r="A44" s="182" t="s">
        <v>502</v>
      </c>
      <c r="B44" s="187">
        <v>40977</v>
      </c>
      <c r="C44" s="275" t="s">
        <v>486</v>
      </c>
      <c r="D44" s="239" t="s">
        <v>157</v>
      </c>
    </row>
    <row r="45" spans="1:4">
      <c r="A45" s="183"/>
      <c r="B45" s="320">
        <v>40980</v>
      </c>
      <c r="C45" s="276" t="s">
        <v>500</v>
      </c>
      <c r="D45" s="262" t="s">
        <v>157</v>
      </c>
    </row>
    <row r="46" spans="1:4">
      <c r="A46" s="283"/>
      <c r="B46" s="321">
        <v>40980</v>
      </c>
      <c r="C46" s="189" t="s">
        <v>501</v>
      </c>
      <c r="D46" s="190" t="s">
        <v>157</v>
      </c>
    </row>
    <row r="47" spans="1:4">
      <c r="A47" s="182" t="s">
        <v>503</v>
      </c>
      <c r="B47" s="187">
        <v>40990</v>
      </c>
      <c r="C47" s="275" t="s">
        <v>507</v>
      </c>
      <c r="D47" s="239" t="s">
        <v>157</v>
      </c>
    </row>
    <row r="48" spans="1:4" ht="30">
      <c r="A48" s="183"/>
      <c r="B48" s="320">
        <v>40991</v>
      </c>
      <c r="C48" s="276" t="s">
        <v>520</v>
      </c>
      <c r="D48" s="262" t="s">
        <v>157</v>
      </c>
    </row>
    <row r="49" spans="1:4">
      <c r="A49" s="183"/>
      <c r="B49" s="320">
        <v>40991</v>
      </c>
      <c r="C49" s="322" t="s">
        <v>521</v>
      </c>
      <c r="D49" s="262" t="s">
        <v>157</v>
      </c>
    </row>
    <row r="50" spans="1:4">
      <c r="A50" s="283"/>
      <c r="B50" s="321">
        <v>40992</v>
      </c>
      <c r="C50" s="323" t="s">
        <v>525</v>
      </c>
      <c r="D50" s="190" t="s">
        <v>157</v>
      </c>
    </row>
    <row r="51" spans="1:4" ht="31.5" customHeight="1">
      <c r="A51" s="182" t="s">
        <v>532</v>
      </c>
      <c r="B51" s="187">
        <v>40997</v>
      </c>
      <c r="C51" s="308" t="s">
        <v>534</v>
      </c>
      <c r="D51" s="239" t="s">
        <v>157</v>
      </c>
    </row>
    <row r="52" spans="1:4">
      <c r="A52" s="283"/>
      <c r="B52" s="321">
        <v>41000</v>
      </c>
      <c r="C52" s="323" t="s">
        <v>548</v>
      </c>
      <c r="D52" s="190" t="s">
        <v>157</v>
      </c>
    </row>
    <row r="53" spans="1:4">
      <c r="A53" s="182" t="s">
        <v>557</v>
      </c>
      <c r="B53" s="187">
        <v>41006</v>
      </c>
      <c r="C53" s="308" t="s">
        <v>551</v>
      </c>
      <c r="D53" s="239" t="s">
        <v>157</v>
      </c>
    </row>
    <row r="54" spans="1:4" ht="30">
      <c r="A54" s="183"/>
      <c r="B54" s="320">
        <v>41007</v>
      </c>
      <c r="C54" s="322" t="s">
        <v>555</v>
      </c>
      <c r="D54" s="262" t="s">
        <v>157</v>
      </c>
    </row>
    <row r="55" spans="1:4">
      <c r="A55" s="283"/>
      <c r="B55" s="321">
        <v>41008</v>
      </c>
      <c r="C55" s="323" t="s">
        <v>570</v>
      </c>
      <c r="D55" s="190" t="s">
        <v>157</v>
      </c>
    </row>
    <row r="56" spans="1:4">
      <c r="A56" s="182" t="s">
        <v>575</v>
      </c>
      <c r="B56" s="187">
        <v>41009</v>
      </c>
      <c r="C56" s="308" t="s">
        <v>576</v>
      </c>
      <c r="D56" s="239" t="s">
        <v>157</v>
      </c>
    </row>
    <row r="57" spans="1:4">
      <c r="A57" s="183"/>
      <c r="B57" s="320"/>
      <c r="C57" s="322" t="s">
        <v>578</v>
      </c>
      <c r="D57" s="262" t="s">
        <v>157</v>
      </c>
    </row>
    <row r="58" spans="1:4" ht="45">
      <c r="A58" s="183"/>
      <c r="B58" s="320">
        <v>41010</v>
      </c>
      <c r="C58" s="322" t="s">
        <v>598</v>
      </c>
      <c r="D58" s="262" t="s">
        <v>157</v>
      </c>
    </row>
    <row r="59" spans="1:4" ht="30">
      <c r="A59" s="183"/>
      <c r="B59" s="320">
        <v>41011</v>
      </c>
      <c r="C59" s="322" t="s">
        <v>611</v>
      </c>
      <c r="D59" s="262" t="s">
        <v>157</v>
      </c>
    </row>
    <row r="60" spans="1:4">
      <c r="A60" s="182" t="s">
        <v>622</v>
      </c>
      <c r="B60" s="187">
        <v>41013</v>
      </c>
      <c r="C60" s="308" t="s">
        <v>629</v>
      </c>
      <c r="D60" s="239" t="s">
        <v>157</v>
      </c>
    </row>
    <row r="61" spans="1:4" ht="30">
      <c r="A61" s="238"/>
      <c r="B61" s="321">
        <v>41017</v>
      </c>
      <c r="C61" s="323" t="s">
        <v>626</v>
      </c>
      <c r="D61" s="190" t="s">
        <v>157</v>
      </c>
    </row>
    <row r="62" spans="1:4">
      <c r="A62" s="302"/>
      <c r="B62" s="303"/>
      <c r="C62" s="304"/>
      <c r="D62" s="305"/>
    </row>
    <row r="63" spans="1:4">
      <c r="A63" s="530" t="s">
        <v>437</v>
      </c>
    </row>
    <row r="64" spans="1:4">
      <c r="A64" s="539">
        <v>1</v>
      </c>
      <c r="B64" t="s">
        <v>445</v>
      </c>
      <c r="C64" s="526"/>
    </row>
    <row r="65" spans="1:3">
      <c r="A65" s="539">
        <f>A64+1</f>
        <v>2</v>
      </c>
      <c r="B65" t="s">
        <v>556</v>
      </c>
      <c r="C65" s="526"/>
    </row>
    <row r="66" spans="1:3">
      <c r="A66" s="539">
        <f t="shared" ref="A66:A68" si="0">A65+1</f>
        <v>3</v>
      </c>
      <c r="B66" t="s">
        <v>599</v>
      </c>
    </row>
    <row r="67" spans="1:3">
      <c r="A67" s="539">
        <f t="shared" si="0"/>
        <v>4</v>
      </c>
      <c r="B67" t="s">
        <v>446</v>
      </c>
      <c r="C67" s="526"/>
    </row>
    <row r="68" spans="1:3">
      <c r="A68" s="539">
        <f t="shared" si="0"/>
        <v>5</v>
      </c>
      <c r="B68" t="s">
        <v>600</v>
      </c>
      <c r="C68" s="526"/>
    </row>
    <row r="69" spans="1:3">
      <c r="A69" s="539"/>
    </row>
    <row r="70" spans="1:3">
      <c r="A70" s="539"/>
    </row>
    <row r="71" spans="1:3">
      <c r="A71" s="539"/>
      <c r="C71" s="52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tabColor indexed="47"/>
    <pageSetUpPr fitToPage="1"/>
  </sheetPr>
  <dimension ref="A1:P77"/>
  <sheetViews>
    <sheetView zoomScale="85" zoomScaleNormal="85" workbookViewId="0">
      <selection activeCell="A9" sqref="A9"/>
    </sheetView>
  </sheetViews>
  <sheetFormatPr defaultRowHeight="12.75"/>
  <cols>
    <col min="1" max="1" width="19.42578125" style="430" customWidth="1"/>
    <col min="2" max="2" width="12.5703125" style="430" customWidth="1"/>
    <col min="3" max="5" width="14.85546875" style="430" customWidth="1"/>
    <col min="6" max="9" width="15.140625" style="430" customWidth="1"/>
    <col min="10" max="10" width="14" style="430" customWidth="1"/>
    <col min="11" max="11" width="13.85546875" style="430" customWidth="1"/>
    <col min="12" max="12" width="12.5703125" style="430" customWidth="1"/>
    <col min="13" max="13" width="11.85546875" style="430" customWidth="1"/>
    <col min="14" max="14" width="12.28515625" style="430" customWidth="1"/>
    <col min="15" max="15" width="10.85546875" style="430" customWidth="1"/>
    <col min="16" max="16" width="13.85546875" style="430" customWidth="1"/>
    <col min="17" max="256" width="9.140625" style="430"/>
    <col min="257" max="257" width="19.42578125" style="430" customWidth="1"/>
    <col min="258" max="258" width="12.5703125" style="430" customWidth="1"/>
    <col min="259" max="261" width="14.85546875" style="430" customWidth="1"/>
    <col min="262" max="265" width="15.140625" style="430" customWidth="1"/>
    <col min="266" max="266" width="13.140625" style="430" customWidth="1"/>
    <col min="267" max="267" width="11.28515625" style="430" customWidth="1"/>
    <col min="268" max="268" width="12.5703125" style="430" customWidth="1"/>
    <col min="269" max="269" width="11.85546875" style="430" customWidth="1"/>
    <col min="270" max="270" width="12.28515625" style="430" customWidth="1"/>
    <col min="271" max="271" width="10.85546875" style="430" customWidth="1"/>
    <col min="272" max="272" width="13.85546875" style="430" customWidth="1"/>
    <col min="273" max="512" width="9.140625" style="430"/>
    <col min="513" max="513" width="19.42578125" style="430" customWidth="1"/>
    <col min="514" max="514" width="12.5703125" style="430" customWidth="1"/>
    <col min="515" max="517" width="14.85546875" style="430" customWidth="1"/>
    <col min="518" max="521" width="15.140625" style="430" customWidth="1"/>
    <col min="522" max="522" width="13.140625" style="430" customWidth="1"/>
    <col min="523" max="523" width="11.28515625" style="430" customWidth="1"/>
    <col min="524" max="524" width="12.5703125" style="430" customWidth="1"/>
    <col min="525" max="525" width="11.85546875" style="430" customWidth="1"/>
    <col min="526" max="526" width="12.28515625" style="430" customWidth="1"/>
    <col min="527" max="527" width="10.85546875" style="430" customWidth="1"/>
    <col min="528" max="528" width="13.85546875" style="430" customWidth="1"/>
    <col min="529" max="768" width="9.140625" style="430"/>
    <col min="769" max="769" width="19.42578125" style="430" customWidth="1"/>
    <col min="770" max="770" width="12.5703125" style="430" customWidth="1"/>
    <col min="771" max="773" width="14.85546875" style="430" customWidth="1"/>
    <col min="774" max="777" width="15.140625" style="430" customWidth="1"/>
    <col min="778" max="778" width="13.140625" style="430" customWidth="1"/>
    <col min="779" max="779" width="11.28515625" style="430" customWidth="1"/>
    <col min="780" max="780" width="12.5703125" style="430" customWidth="1"/>
    <col min="781" max="781" width="11.85546875" style="430" customWidth="1"/>
    <col min="782" max="782" width="12.28515625" style="430" customWidth="1"/>
    <col min="783" max="783" width="10.85546875" style="430" customWidth="1"/>
    <col min="784" max="784" width="13.85546875" style="430" customWidth="1"/>
    <col min="785" max="1024" width="9.140625" style="430"/>
    <col min="1025" max="1025" width="19.42578125" style="430" customWidth="1"/>
    <col min="1026" max="1026" width="12.5703125" style="430" customWidth="1"/>
    <col min="1027" max="1029" width="14.85546875" style="430" customWidth="1"/>
    <col min="1030" max="1033" width="15.140625" style="430" customWidth="1"/>
    <col min="1034" max="1034" width="13.140625" style="430" customWidth="1"/>
    <col min="1035" max="1035" width="11.28515625" style="430" customWidth="1"/>
    <col min="1036" max="1036" width="12.5703125" style="430" customWidth="1"/>
    <col min="1037" max="1037" width="11.85546875" style="430" customWidth="1"/>
    <col min="1038" max="1038" width="12.28515625" style="430" customWidth="1"/>
    <col min="1039" max="1039" width="10.85546875" style="430" customWidth="1"/>
    <col min="1040" max="1040" width="13.85546875" style="430" customWidth="1"/>
    <col min="1041" max="1280" width="9.140625" style="430"/>
    <col min="1281" max="1281" width="19.42578125" style="430" customWidth="1"/>
    <col min="1282" max="1282" width="12.5703125" style="430" customWidth="1"/>
    <col min="1283" max="1285" width="14.85546875" style="430" customWidth="1"/>
    <col min="1286" max="1289" width="15.140625" style="430" customWidth="1"/>
    <col min="1290" max="1290" width="13.140625" style="430" customWidth="1"/>
    <col min="1291" max="1291" width="11.28515625" style="430" customWidth="1"/>
    <col min="1292" max="1292" width="12.5703125" style="430" customWidth="1"/>
    <col min="1293" max="1293" width="11.85546875" style="430" customWidth="1"/>
    <col min="1294" max="1294" width="12.28515625" style="430" customWidth="1"/>
    <col min="1295" max="1295" width="10.85546875" style="430" customWidth="1"/>
    <col min="1296" max="1296" width="13.85546875" style="430" customWidth="1"/>
    <col min="1297" max="1536" width="9.140625" style="430"/>
    <col min="1537" max="1537" width="19.42578125" style="430" customWidth="1"/>
    <col min="1538" max="1538" width="12.5703125" style="430" customWidth="1"/>
    <col min="1539" max="1541" width="14.85546875" style="430" customWidth="1"/>
    <col min="1542" max="1545" width="15.140625" style="430" customWidth="1"/>
    <col min="1546" max="1546" width="13.140625" style="430" customWidth="1"/>
    <col min="1547" max="1547" width="11.28515625" style="430" customWidth="1"/>
    <col min="1548" max="1548" width="12.5703125" style="430" customWidth="1"/>
    <col min="1549" max="1549" width="11.85546875" style="430" customWidth="1"/>
    <col min="1550" max="1550" width="12.28515625" style="430" customWidth="1"/>
    <col min="1551" max="1551" width="10.85546875" style="430" customWidth="1"/>
    <col min="1552" max="1552" width="13.85546875" style="430" customWidth="1"/>
    <col min="1553" max="1792" width="9.140625" style="430"/>
    <col min="1793" max="1793" width="19.42578125" style="430" customWidth="1"/>
    <col min="1794" max="1794" width="12.5703125" style="430" customWidth="1"/>
    <col min="1795" max="1797" width="14.85546875" style="430" customWidth="1"/>
    <col min="1798" max="1801" width="15.140625" style="430" customWidth="1"/>
    <col min="1802" max="1802" width="13.140625" style="430" customWidth="1"/>
    <col min="1803" max="1803" width="11.28515625" style="430" customWidth="1"/>
    <col min="1804" max="1804" width="12.5703125" style="430" customWidth="1"/>
    <col min="1805" max="1805" width="11.85546875" style="430" customWidth="1"/>
    <col min="1806" max="1806" width="12.28515625" style="430" customWidth="1"/>
    <col min="1807" max="1807" width="10.85546875" style="430" customWidth="1"/>
    <col min="1808" max="1808" width="13.85546875" style="430" customWidth="1"/>
    <col min="1809" max="2048" width="9.140625" style="430"/>
    <col min="2049" max="2049" width="19.42578125" style="430" customWidth="1"/>
    <col min="2050" max="2050" width="12.5703125" style="430" customWidth="1"/>
    <col min="2051" max="2053" width="14.85546875" style="430" customWidth="1"/>
    <col min="2054" max="2057" width="15.140625" style="430" customWidth="1"/>
    <col min="2058" max="2058" width="13.140625" style="430" customWidth="1"/>
    <col min="2059" max="2059" width="11.28515625" style="430" customWidth="1"/>
    <col min="2060" max="2060" width="12.5703125" style="430" customWidth="1"/>
    <col min="2061" max="2061" width="11.85546875" style="430" customWidth="1"/>
    <col min="2062" max="2062" width="12.28515625" style="430" customWidth="1"/>
    <col min="2063" max="2063" width="10.85546875" style="430" customWidth="1"/>
    <col min="2064" max="2064" width="13.85546875" style="430" customWidth="1"/>
    <col min="2065" max="2304" width="9.140625" style="430"/>
    <col min="2305" max="2305" width="19.42578125" style="430" customWidth="1"/>
    <col min="2306" max="2306" width="12.5703125" style="430" customWidth="1"/>
    <col min="2307" max="2309" width="14.85546875" style="430" customWidth="1"/>
    <col min="2310" max="2313" width="15.140625" style="430" customWidth="1"/>
    <col min="2314" max="2314" width="13.140625" style="430" customWidth="1"/>
    <col min="2315" max="2315" width="11.28515625" style="430" customWidth="1"/>
    <col min="2316" max="2316" width="12.5703125" style="430" customWidth="1"/>
    <col min="2317" max="2317" width="11.85546875" style="430" customWidth="1"/>
    <col min="2318" max="2318" width="12.28515625" style="430" customWidth="1"/>
    <col min="2319" max="2319" width="10.85546875" style="430" customWidth="1"/>
    <col min="2320" max="2320" width="13.85546875" style="430" customWidth="1"/>
    <col min="2321" max="2560" width="9.140625" style="430"/>
    <col min="2561" max="2561" width="19.42578125" style="430" customWidth="1"/>
    <col min="2562" max="2562" width="12.5703125" style="430" customWidth="1"/>
    <col min="2563" max="2565" width="14.85546875" style="430" customWidth="1"/>
    <col min="2566" max="2569" width="15.140625" style="430" customWidth="1"/>
    <col min="2570" max="2570" width="13.140625" style="430" customWidth="1"/>
    <col min="2571" max="2571" width="11.28515625" style="430" customWidth="1"/>
    <col min="2572" max="2572" width="12.5703125" style="430" customWidth="1"/>
    <col min="2573" max="2573" width="11.85546875" style="430" customWidth="1"/>
    <col min="2574" max="2574" width="12.28515625" style="430" customWidth="1"/>
    <col min="2575" max="2575" width="10.85546875" style="430" customWidth="1"/>
    <col min="2576" max="2576" width="13.85546875" style="430" customWidth="1"/>
    <col min="2577" max="2816" width="9.140625" style="430"/>
    <col min="2817" max="2817" width="19.42578125" style="430" customWidth="1"/>
    <col min="2818" max="2818" width="12.5703125" style="430" customWidth="1"/>
    <col min="2819" max="2821" width="14.85546875" style="430" customWidth="1"/>
    <col min="2822" max="2825" width="15.140625" style="430" customWidth="1"/>
    <col min="2826" max="2826" width="13.140625" style="430" customWidth="1"/>
    <col min="2827" max="2827" width="11.28515625" style="430" customWidth="1"/>
    <col min="2828" max="2828" width="12.5703125" style="430" customWidth="1"/>
    <col min="2829" max="2829" width="11.85546875" style="430" customWidth="1"/>
    <col min="2830" max="2830" width="12.28515625" style="430" customWidth="1"/>
    <col min="2831" max="2831" width="10.85546875" style="430" customWidth="1"/>
    <col min="2832" max="2832" width="13.85546875" style="430" customWidth="1"/>
    <col min="2833" max="3072" width="9.140625" style="430"/>
    <col min="3073" max="3073" width="19.42578125" style="430" customWidth="1"/>
    <col min="3074" max="3074" width="12.5703125" style="430" customWidth="1"/>
    <col min="3075" max="3077" width="14.85546875" style="430" customWidth="1"/>
    <col min="3078" max="3081" width="15.140625" style="430" customWidth="1"/>
    <col min="3082" max="3082" width="13.140625" style="430" customWidth="1"/>
    <col min="3083" max="3083" width="11.28515625" style="430" customWidth="1"/>
    <col min="3084" max="3084" width="12.5703125" style="430" customWidth="1"/>
    <col min="3085" max="3085" width="11.85546875" style="430" customWidth="1"/>
    <col min="3086" max="3086" width="12.28515625" style="430" customWidth="1"/>
    <col min="3087" max="3087" width="10.85546875" style="430" customWidth="1"/>
    <col min="3088" max="3088" width="13.85546875" style="430" customWidth="1"/>
    <col min="3089" max="3328" width="9.140625" style="430"/>
    <col min="3329" max="3329" width="19.42578125" style="430" customWidth="1"/>
    <col min="3330" max="3330" width="12.5703125" style="430" customWidth="1"/>
    <col min="3331" max="3333" width="14.85546875" style="430" customWidth="1"/>
    <col min="3334" max="3337" width="15.140625" style="430" customWidth="1"/>
    <col min="3338" max="3338" width="13.140625" style="430" customWidth="1"/>
    <col min="3339" max="3339" width="11.28515625" style="430" customWidth="1"/>
    <col min="3340" max="3340" width="12.5703125" style="430" customWidth="1"/>
    <col min="3341" max="3341" width="11.85546875" style="430" customWidth="1"/>
    <col min="3342" max="3342" width="12.28515625" style="430" customWidth="1"/>
    <col min="3343" max="3343" width="10.85546875" style="430" customWidth="1"/>
    <col min="3344" max="3344" width="13.85546875" style="430" customWidth="1"/>
    <col min="3345" max="3584" width="9.140625" style="430"/>
    <col min="3585" max="3585" width="19.42578125" style="430" customWidth="1"/>
    <col min="3586" max="3586" width="12.5703125" style="430" customWidth="1"/>
    <col min="3587" max="3589" width="14.85546875" style="430" customWidth="1"/>
    <col min="3590" max="3593" width="15.140625" style="430" customWidth="1"/>
    <col min="3594" max="3594" width="13.140625" style="430" customWidth="1"/>
    <col min="3595" max="3595" width="11.28515625" style="430" customWidth="1"/>
    <col min="3596" max="3596" width="12.5703125" style="430" customWidth="1"/>
    <col min="3597" max="3597" width="11.85546875" style="430" customWidth="1"/>
    <col min="3598" max="3598" width="12.28515625" style="430" customWidth="1"/>
    <col min="3599" max="3599" width="10.85546875" style="430" customWidth="1"/>
    <col min="3600" max="3600" width="13.85546875" style="430" customWidth="1"/>
    <col min="3601" max="3840" width="9.140625" style="430"/>
    <col min="3841" max="3841" width="19.42578125" style="430" customWidth="1"/>
    <col min="3842" max="3842" width="12.5703125" style="430" customWidth="1"/>
    <col min="3843" max="3845" width="14.85546875" style="430" customWidth="1"/>
    <col min="3846" max="3849" width="15.140625" style="430" customWidth="1"/>
    <col min="3850" max="3850" width="13.140625" style="430" customWidth="1"/>
    <col min="3851" max="3851" width="11.28515625" style="430" customWidth="1"/>
    <col min="3852" max="3852" width="12.5703125" style="430" customWidth="1"/>
    <col min="3853" max="3853" width="11.85546875" style="430" customWidth="1"/>
    <col min="3854" max="3854" width="12.28515625" style="430" customWidth="1"/>
    <col min="3855" max="3855" width="10.85546875" style="430" customWidth="1"/>
    <col min="3856" max="3856" width="13.85546875" style="430" customWidth="1"/>
    <col min="3857" max="4096" width="9.140625" style="430"/>
    <col min="4097" max="4097" width="19.42578125" style="430" customWidth="1"/>
    <col min="4098" max="4098" width="12.5703125" style="430" customWidth="1"/>
    <col min="4099" max="4101" width="14.85546875" style="430" customWidth="1"/>
    <col min="4102" max="4105" width="15.140625" style="430" customWidth="1"/>
    <col min="4106" max="4106" width="13.140625" style="430" customWidth="1"/>
    <col min="4107" max="4107" width="11.28515625" style="430" customWidth="1"/>
    <col min="4108" max="4108" width="12.5703125" style="430" customWidth="1"/>
    <col min="4109" max="4109" width="11.85546875" style="430" customWidth="1"/>
    <col min="4110" max="4110" width="12.28515625" style="430" customWidth="1"/>
    <col min="4111" max="4111" width="10.85546875" style="430" customWidth="1"/>
    <col min="4112" max="4112" width="13.85546875" style="430" customWidth="1"/>
    <col min="4113" max="4352" width="9.140625" style="430"/>
    <col min="4353" max="4353" width="19.42578125" style="430" customWidth="1"/>
    <col min="4354" max="4354" width="12.5703125" style="430" customWidth="1"/>
    <col min="4355" max="4357" width="14.85546875" style="430" customWidth="1"/>
    <col min="4358" max="4361" width="15.140625" style="430" customWidth="1"/>
    <col min="4362" max="4362" width="13.140625" style="430" customWidth="1"/>
    <col min="4363" max="4363" width="11.28515625" style="430" customWidth="1"/>
    <col min="4364" max="4364" width="12.5703125" style="430" customWidth="1"/>
    <col min="4365" max="4365" width="11.85546875" style="430" customWidth="1"/>
    <col min="4366" max="4366" width="12.28515625" style="430" customWidth="1"/>
    <col min="4367" max="4367" width="10.85546875" style="430" customWidth="1"/>
    <col min="4368" max="4368" width="13.85546875" style="430" customWidth="1"/>
    <col min="4369" max="4608" width="9.140625" style="430"/>
    <col min="4609" max="4609" width="19.42578125" style="430" customWidth="1"/>
    <col min="4610" max="4610" width="12.5703125" style="430" customWidth="1"/>
    <col min="4611" max="4613" width="14.85546875" style="430" customWidth="1"/>
    <col min="4614" max="4617" width="15.140625" style="430" customWidth="1"/>
    <col min="4618" max="4618" width="13.140625" style="430" customWidth="1"/>
    <col min="4619" max="4619" width="11.28515625" style="430" customWidth="1"/>
    <col min="4620" max="4620" width="12.5703125" style="430" customWidth="1"/>
    <col min="4621" max="4621" width="11.85546875" style="430" customWidth="1"/>
    <col min="4622" max="4622" width="12.28515625" style="430" customWidth="1"/>
    <col min="4623" max="4623" width="10.85546875" style="430" customWidth="1"/>
    <col min="4624" max="4624" width="13.85546875" style="430" customWidth="1"/>
    <col min="4625" max="4864" width="9.140625" style="430"/>
    <col min="4865" max="4865" width="19.42578125" style="430" customWidth="1"/>
    <col min="4866" max="4866" width="12.5703125" style="430" customWidth="1"/>
    <col min="4867" max="4869" width="14.85546875" style="430" customWidth="1"/>
    <col min="4870" max="4873" width="15.140625" style="430" customWidth="1"/>
    <col min="4874" max="4874" width="13.140625" style="430" customWidth="1"/>
    <col min="4875" max="4875" width="11.28515625" style="430" customWidth="1"/>
    <col min="4876" max="4876" width="12.5703125" style="430" customWidth="1"/>
    <col min="4877" max="4877" width="11.85546875" style="430" customWidth="1"/>
    <col min="4878" max="4878" width="12.28515625" style="430" customWidth="1"/>
    <col min="4879" max="4879" width="10.85546875" style="430" customWidth="1"/>
    <col min="4880" max="4880" width="13.85546875" style="430" customWidth="1"/>
    <col min="4881" max="5120" width="9.140625" style="430"/>
    <col min="5121" max="5121" width="19.42578125" style="430" customWidth="1"/>
    <col min="5122" max="5122" width="12.5703125" style="430" customWidth="1"/>
    <col min="5123" max="5125" width="14.85546875" style="430" customWidth="1"/>
    <col min="5126" max="5129" width="15.140625" style="430" customWidth="1"/>
    <col min="5130" max="5130" width="13.140625" style="430" customWidth="1"/>
    <col min="5131" max="5131" width="11.28515625" style="430" customWidth="1"/>
    <col min="5132" max="5132" width="12.5703125" style="430" customWidth="1"/>
    <col min="5133" max="5133" width="11.85546875" style="430" customWidth="1"/>
    <col min="5134" max="5134" width="12.28515625" style="430" customWidth="1"/>
    <col min="5135" max="5135" width="10.85546875" style="430" customWidth="1"/>
    <col min="5136" max="5136" width="13.85546875" style="430" customWidth="1"/>
    <col min="5137" max="5376" width="9.140625" style="430"/>
    <col min="5377" max="5377" width="19.42578125" style="430" customWidth="1"/>
    <col min="5378" max="5378" width="12.5703125" style="430" customWidth="1"/>
    <col min="5379" max="5381" width="14.85546875" style="430" customWidth="1"/>
    <col min="5382" max="5385" width="15.140625" style="430" customWidth="1"/>
    <col min="5386" max="5386" width="13.140625" style="430" customWidth="1"/>
    <col min="5387" max="5387" width="11.28515625" style="430" customWidth="1"/>
    <col min="5388" max="5388" width="12.5703125" style="430" customWidth="1"/>
    <col min="5389" max="5389" width="11.85546875" style="430" customWidth="1"/>
    <col min="5390" max="5390" width="12.28515625" style="430" customWidth="1"/>
    <col min="5391" max="5391" width="10.85546875" style="430" customWidth="1"/>
    <col min="5392" max="5392" width="13.85546875" style="430" customWidth="1"/>
    <col min="5393" max="5632" width="9.140625" style="430"/>
    <col min="5633" max="5633" width="19.42578125" style="430" customWidth="1"/>
    <col min="5634" max="5634" width="12.5703125" style="430" customWidth="1"/>
    <col min="5635" max="5637" width="14.85546875" style="430" customWidth="1"/>
    <col min="5638" max="5641" width="15.140625" style="430" customWidth="1"/>
    <col min="5642" max="5642" width="13.140625" style="430" customWidth="1"/>
    <col min="5643" max="5643" width="11.28515625" style="430" customWidth="1"/>
    <col min="5644" max="5644" width="12.5703125" style="430" customWidth="1"/>
    <col min="5645" max="5645" width="11.85546875" style="430" customWidth="1"/>
    <col min="5646" max="5646" width="12.28515625" style="430" customWidth="1"/>
    <col min="5647" max="5647" width="10.85546875" style="430" customWidth="1"/>
    <col min="5648" max="5648" width="13.85546875" style="430" customWidth="1"/>
    <col min="5649" max="5888" width="9.140625" style="430"/>
    <col min="5889" max="5889" width="19.42578125" style="430" customWidth="1"/>
    <col min="5890" max="5890" width="12.5703125" style="430" customWidth="1"/>
    <col min="5891" max="5893" width="14.85546875" style="430" customWidth="1"/>
    <col min="5894" max="5897" width="15.140625" style="430" customWidth="1"/>
    <col min="5898" max="5898" width="13.140625" style="430" customWidth="1"/>
    <col min="5899" max="5899" width="11.28515625" style="430" customWidth="1"/>
    <col min="5900" max="5900" width="12.5703125" style="430" customWidth="1"/>
    <col min="5901" max="5901" width="11.85546875" style="430" customWidth="1"/>
    <col min="5902" max="5902" width="12.28515625" style="430" customWidth="1"/>
    <col min="5903" max="5903" width="10.85546875" style="430" customWidth="1"/>
    <col min="5904" max="5904" width="13.85546875" style="430" customWidth="1"/>
    <col min="5905" max="6144" width="9.140625" style="430"/>
    <col min="6145" max="6145" width="19.42578125" style="430" customWidth="1"/>
    <col min="6146" max="6146" width="12.5703125" style="430" customWidth="1"/>
    <col min="6147" max="6149" width="14.85546875" style="430" customWidth="1"/>
    <col min="6150" max="6153" width="15.140625" style="430" customWidth="1"/>
    <col min="6154" max="6154" width="13.140625" style="430" customWidth="1"/>
    <col min="6155" max="6155" width="11.28515625" style="430" customWidth="1"/>
    <col min="6156" max="6156" width="12.5703125" style="430" customWidth="1"/>
    <col min="6157" max="6157" width="11.85546875" style="430" customWidth="1"/>
    <col min="6158" max="6158" width="12.28515625" style="430" customWidth="1"/>
    <col min="6159" max="6159" width="10.85546875" style="430" customWidth="1"/>
    <col min="6160" max="6160" width="13.85546875" style="430" customWidth="1"/>
    <col min="6161" max="6400" width="9.140625" style="430"/>
    <col min="6401" max="6401" width="19.42578125" style="430" customWidth="1"/>
    <col min="6402" max="6402" width="12.5703125" style="430" customWidth="1"/>
    <col min="6403" max="6405" width="14.85546875" style="430" customWidth="1"/>
    <col min="6406" max="6409" width="15.140625" style="430" customWidth="1"/>
    <col min="6410" max="6410" width="13.140625" style="430" customWidth="1"/>
    <col min="6411" max="6411" width="11.28515625" style="430" customWidth="1"/>
    <col min="6412" max="6412" width="12.5703125" style="430" customWidth="1"/>
    <col min="6413" max="6413" width="11.85546875" style="430" customWidth="1"/>
    <col min="6414" max="6414" width="12.28515625" style="430" customWidth="1"/>
    <col min="6415" max="6415" width="10.85546875" style="430" customWidth="1"/>
    <col min="6416" max="6416" width="13.85546875" style="430" customWidth="1"/>
    <col min="6417" max="6656" width="9.140625" style="430"/>
    <col min="6657" max="6657" width="19.42578125" style="430" customWidth="1"/>
    <col min="6658" max="6658" width="12.5703125" style="430" customWidth="1"/>
    <col min="6659" max="6661" width="14.85546875" style="430" customWidth="1"/>
    <col min="6662" max="6665" width="15.140625" style="430" customWidth="1"/>
    <col min="6666" max="6666" width="13.140625" style="430" customWidth="1"/>
    <col min="6667" max="6667" width="11.28515625" style="430" customWidth="1"/>
    <col min="6668" max="6668" width="12.5703125" style="430" customWidth="1"/>
    <col min="6669" max="6669" width="11.85546875" style="430" customWidth="1"/>
    <col min="6670" max="6670" width="12.28515625" style="430" customWidth="1"/>
    <col min="6671" max="6671" width="10.85546875" style="430" customWidth="1"/>
    <col min="6672" max="6672" width="13.85546875" style="430" customWidth="1"/>
    <col min="6673" max="6912" width="9.140625" style="430"/>
    <col min="6913" max="6913" width="19.42578125" style="430" customWidth="1"/>
    <col min="6914" max="6914" width="12.5703125" style="430" customWidth="1"/>
    <col min="6915" max="6917" width="14.85546875" style="430" customWidth="1"/>
    <col min="6918" max="6921" width="15.140625" style="430" customWidth="1"/>
    <col min="6922" max="6922" width="13.140625" style="430" customWidth="1"/>
    <col min="6923" max="6923" width="11.28515625" style="430" customWidth="1"/>
    <col min="6924" max="6924" width="12.5703125" style="430" customWidth="1"/>
    <col min="6925" max="6925" width="11.85546875" style="430" customWidth="1"/>
    <col min="6926" max="6926" width="12.28515625" style="430" customWidth="1"/>
    <col min="6927" max="6927" width="10.85546875" style="430" customWidth="1"/>
    <col min="6928" max="6928" width="13.85546875" style="430" customWidth="1"/>
    <col min="6929" max="7168" width="9.140625" style="430"/>
    <col min="7169" max="7169" width="19.42578125" style="430" customWidth="1"/>
    <col min="7170" max="7170" width="12.5703125" style="430" customWidth="1"/>
    <col min="7171" max="7173" width="14.85546875" style="430" customWidth="1"/>
    <col min="7174" max="7177" width="15.140625" style="430" customWidth="1"/>
    <col min="7178" max="7178" width="13.140625" style="430" customWidth="1"/>
    <col min="7179" max="7179" width="11.28515625" style="430" customWidth="1"/>
    <col min="7180" max="7180" width="12.5703125" style="430" customWidth="1"/>
    <col min="7181" max="7181" width="11.85546875" style="430" customWidth="1"/>
    <col min="7182" max="7182" width="12.28515625" style="430" customWidth="1"/>
    <col min="7183" max="7183" width="10.85546875" style="430" customWidth="1"/>
    <col min="7184" max="7184" width="13.85546875" style="430" customWidth="1"/>
    <col min="7185" max="7424" width="9.140625" style="430"/>
    <col min="7425" max="7425" width="19.42578125" style="430" customWidth="1"/>
    <col min="7426" max="7426" width="12.5703125" style="430" customWidth="1"/>
    <col min="7427" max="7429" width="14.85546875" style="430" customWidth="1"/>
    <col min="7430" max="7433" width="15.140625" style="430" customWidth="1"/>
    <col min="7434" max="7434" width="13.140625" style="430" customWidth="1"/>
    <col min="7435" max="7435" width="11.28515625" style="430" customWidth="1"/>
    <col min="7436" max="7436" width="12.5703125" style="430" customWidth="1"/>
    <col min="7437" max="7437" width="11.85546875" style="430" customWidth="1"/>
    <col min="7438" max="7438" width="12.28515625" style="430" customWidth="1"/>
    <col min="7439" max="7439" width="10.85546875" style="430" customWidth="1"/>
    <col min="7440" max="7440" width="13.85546875" style="430" customWidth="1"/>
    <col min="7441" max="7680" width="9.140625" style="430"/>
    <col min="7681" max="7681" width="19.42578125" style="430" customWidth="1"/>
    <col min="7682" max="7682" width="12.5703125" style="430" customWidth="1"/>
    <col min="7683" max="7685" width="14.85546875" style="430" customWidth="1"/>
    <col min="7686" max="7689" width="15.140625" style="430" customWidth="1"/>
    <col min="7690" max="7690" width="13.140625" style="430" customWidth="1"/>
    <col min="7691" max="7691" width="11.28515625" style="430" customWidth="1"/>
    <col min="7692" max="7692" width="12.5703125" style="430" customWidth="1"/>
    <col min="7693" max="7693" width="11.85546875" style="430" customWidth="1"/>
    <col min="7694" max="7694" width="12.28515625" style="430" customWidth="1"/>
    <col min="7695" max="7695" width="10.85546875" style="430" customWidth="1"/>
    <col min="7696" max="7696" width="13.85546875" style="430" customWidth="1"/>
    <col min="7697" max="7936" width="9.140625" style="430"/>
    <col min="7937" max="7937" width="19.42578125" style="430" customWidth="1"/>
    <col min="7938" max="7938" width="12.5703125" style="430" customWidth="1"/>
    <col min="7939" max="7941" width="14.85546875" style="430" customWidth="1"/>
    <col min="7942" max="7945" width="15.140625" style="430" customWidth="1"/>
    <col min="7946" max="7946" width="13.140625" style="430" customWidth="1"/>
    <col min="7947" max="7947" width="11.28515625" style="430" customWidth="1"/>
    <col min="7948" max="7948" width="12.5703125" style="430" customWidth="1"/>
    <col min="7949" max="7949" width="11.85546875" style="430" customWidth="1"/>
    <col min="7950" max="7950" width="12.28515625" style="430" customWidth="1"/>
    <col min="7951" max="7951" width="10.85546875" style="430" customWidth="1"/>
    <col min="7952" max="7952" width="13.85546875" style="430" customWidth="1"/>
    <col min="7953" max="8192" width="9.140625" style="430"/>
    <col min="8193" max="8193" width="19.42578125" style="430" customWidth="1"/>
    <col min="8194" max="8194" width="12.5703125" style="430" customWidth="1"/>
    <col min="8195" max="8197" width="14.85546875" style="430" customWidth="1"/>
    <col min="8198" max="8201" width="15.140625" style="430" customWidth="1"/>
    <col min="8202" max="8202" width="13.140625" style="430" customWidth="1"/>
    <col min="8203" max="8203" width="11.28515625" style="430" customWidth="1"/>
    <col min="8204" max="8204" width="12.5703125" style="430" customWidth="1"/>
    <col min="8205" max="8205" width="11.85546875" style="430" customWidth="1"/>
    <col min="8206" max="8206" width="12.28515625" style="430" customWidth="1"/>
    <col min="8207" max="8207" width="10.85546875" style="430" customWidth="1"/>
    <col min="8208" max="8208" width="13.85546875" style="430" customWidth="1"/>
    <col min="8209" max="8448" width="9.140625" style="430"/>
    <col min="8449" max="8449" width="19.42578125" style="430" customWidth="1"/>
    <col min="8450" max="8450" width="12.5703125" style="430" customWidth="1"/>
    <col min="8451" max="8453" width="14.85546875" style="430" customWidth="1"/>
    <col min="8454" max="8457" width="15.140625" style="430" customWidth="1"/>
    <col min="8458" max="8458" width="13.140625" style="430" customWidth="1"/>
    <col min="8459" max="8459" width="11.28515625" style="430" customWidth="1"/>
    <col min="8460" max="8460" width="12.5703125" style="430" customWidth="1"/>
    <col min="8461" max="8461" width="11.85546875" style="430" customWidth="1"/>
    <col min="8462" max="8462" width="12.28515625" style="430" customWidth="1"/>
    <col min="8463" max="8463" width="10.85546875" style="430" customWidth="1"/>
    <col min="8464" max="8464" width="13.85546875" style="430" customWidth="1"/>
    <col min="8465" max="8704" width="9.140625" style="430"/>
    <col min="8705" max="8705" width="19.42578125" style="430" customWidth="1"/>
    <col min="8706" max="8706" width="12.5703125" style="430" customWidth="1"/>
    <col min="8707" max="8709" width="14.85546875" style="430" customWidth="1"/>
    <col min="8710" max="8713" width="15.140625" style="430" customWidth="1"/>
    <col min="8714" max="8714" width="13.140625" style="430" customWidth="1"/>
    <col min="8715" max="8715" width="11.28515625" style="430" customWidth="1"/>
    <col min="8716" max="8716" width="12.5703125" style="430" customWidth="1"/>
    <col min="8717" max="8717" width="11.85546875" style="430" customWidth="1"/>
    <col min="8718" max="8718" width="12.28515625" style="430" customWidth="1"/>
    <col min="8719" max="8719" width="10.85546875" style="430" customWidth="1"/>
    <col min="8720" max="8720" width="13.85546875" style="430" customWidth="1"/>
    <col min="8721" max="8960" width="9.140625" style="430"/>
    <col min="8961" max="8961" width="19.42578125" style="430" customWidth="1"/>
    <col min="8962" max="8962" width="12.5703125" style="430" customWidth="1"/>
    <col min="8963" max="8965" width="14.85546875" style="430" customWidth="1"/>
    <col min="8966" max="8969" width="15.140625" style="430" customWidth="1"/>
    <col min="8970" max="8970" width="13.140625" style="430" customWidth="1"/>
    <col min="8971" max="8971" width="11.28515625" style="430" customWidth="1"/>
    <col min="8972" max="8972" width="12.5703125" style="430" customWidth="1"/>
    <col min="8973" max="8973" width="11.85546875" style="430" customWidth="1"/>
    <col min="8974" max="8974" width="12.28515625" style="430" customWidth="1"/>
    <col min="8975" max="8975" width="10.85546875" style="430" customWidth="1"/>
    <col min="8976" max="8976" width="13.85546875" style="430" customWidth="1"/>
    <col min="8977" max="9216" width="9.140625" style="430"/>
    <col min="9217" max="9217" width="19.42578125" style="430" customWidth="1"/>
    <col min="9218" max="9218" width="12.5703125" style="430" customWidth="1"/>
    <col min="9219" max="9221" width="14.85546875" style="430" customWidth="1"/>
    <col min="9222" max="9225" width="15.140625" style="430" customWidth="1"/>
    <col min="9226" max="9226" width="13.140625" style="430" customWidth="1"/>
    <col min="9227" max="9227" width="11.28515625" style="430" customWidth="1"/>
    <col min="9228" max="9228" width="12.5703125" style="430" customWidth="1"/>
    <col min="9229" max="9229" width="11.85546875" style="430" customWidth="1"/>
    <col min="9230" max="9230" width="12.28515625" style="430" customWidth="1"/>
    <col min="9231" max="9231" width="10.85546875" style="430" customWidth="1"/>
    <col min="9232" max="9232" width="13.85546875" style="430" customWidth="1"/>
    <col min="9233" max="9472" width="9.140625" style="430"/>
    <col min="9473" max="9473" width="19.42578125" style="430" customWidth="1"/>
    <col min="9474" max="9474" width="12.5703125" style="430" customWidth="1"/>
    <col min="9475" max="9477" width="14.85546875" style="430" customWidth="1"/>
    <col min="9478" max="9481" width="15.140625" style="430" customWidth="1"/>
    <col min="9482" max="9482" width="13.140625" style="430" customWidth="1"/>
    <col min="9483" max="9483" width="11.28515625" style="430" customWidth="1"/>
    <col min="9484" max="9484" width="12.5703125" style="430" customWidth="1"/>
    <col min="9485" max="9485" width="11.85546875" style="430" customWidth="1"/>
    <col min="9486" max="9486" width="12.28515625" style="430" customWidth="1"/>
    <col min="9487" max="9487" width="10.85546875" style="430" customWidth="1"/>
    <col min="9488" max="9488" width="13.85546875" style="430" customWidth="1"/>
    <col min="9489" max="9728" width="9.140625" style="430"/>
    <col min="9729" max="9729" width="19.42578125" style="430" customWidth="1"/>
    <col min="9730" max="9730" width="12.5703125" style="430" customWidth="1"/>
    <col min="9731" max="9733" width="14.85546875" style="430" customWidth="1"/>
    <col min="9734" max="9737" width="15.140625" style="430" customWidth="1"/>
    <col min="9738" max="9738" width="13.140625" style="430" customWidth="1"/>
    <col min="9739" max="9739" width="11.28515625" style="430" customWidth="1"/>
    <col min="9740" max="9740" width="12.5703125" style="430" customWidth="1"/>
    <col min="9741" max="9741" width="11.85546875" style="430" customWidth="1"/>
    <col min="9742" max="9742" width="12.28515625" style="430" customWidth="1"/>
    <col min="9743" max="9743" width="10.85546875" style="430" customWidth="1"/>
    <col min="9744" max="9744" width="13.85546875" style="430" customWidth="1"/>
    <col min="9745" max="9984" width="9.140625" style="430"/>
    <col min="9985" max="9985" width="19.42578125" style="430" customWidth="1"/>
    <col min="9986" max="9986" width="12.5703125" style="430" customWidth="1"/>
    <col min="9987" max="9989" width="14.85546875" style="430" customWidth="1"/>
    <col min="9990" max="9993" width="15.140625" style="430" customWidth="1"/>
    <col min="9994" max="9994" width="13.140625" style="430" customWidth="1"/>
    <col min="9995" max="9995" width="11.28515625" style="430" customWidth="1"/>
    <col min="9996" max="9996" width="12.5703125" style="430" customWidth="1"/>
    <col min="9997" max="9997" width="11.85546875" style="430" customWidth="1"/>
    <col min="9998" max="9998" width="12.28515625" style="430" customWidth="1"/>
    <col min="9999" max="9999" width="10.85546875" style="430" customWidth="1"/>
    <col min="10000" max="10000" width="13.85546875" style="430" customWidth="1"/>
    <col min="10001" max="10240" width="9.140625" style="430"/>
    <col min="10241" max="10241" width="19.42578125" style="430" customWidth="1"/>
    <col min="10242" max="10242" width="12.5703125" style="430" customWidth="1"/>
    <col min="10243" max="10245" width="14.85546875" style="430" customWidth="1"/>
    <col min="10246" max="10249" width="15.140625" style="430" customWidth="1"/>
    <col min="10250" max="10250" width="13.140625" style="430" customWidth="1"/>
    <col min="10251" max="10251" width="11.28515625" style="430" customWidth="1"/>
    <col min="10252" max="10252" width="12.5703125" style="430" customWidth="1"/>
    <col min="10253" max="10253" width="11.85546875" style="430" customWidth="1"/>
    <col min="10254" max="10254" width="12.28515625" style="430" customWidth="1"/>
    <col min="10255" max="10255" width="10.85546875" style="430" customWidth="1"/>
    <col min="10256" max="10256" width="13.85546875" style="430" customWidth="1"/>
    <col min="10257" max="10496" width="9.140625" style="430"/>
    <col min="10497" max="10497" width="19.42578125" style="430" customWidth="1"/>
    <col min="10498" max="10498" width="12.5703125" style="430" customWidth="1"/>
    <col min="10499" max="10501" width="14.85546875" style="430" customWidth="1"/>
    <col min="10502" max="10505" width="15.140625" style="430" customWidth="1"/>
    <col min="10506" max="10506" width="13.140625" style="430" customWidth="1"/>
    <col min="10507" max="10507" width="11.28515625" style="430" customWidth="1"/>
    <col min="10508" max="10508" width="12.5703125" style="430" customWidth="1"/>
    <col min="10509" max="10509" width="11.85546875" style="430" customWidth="1"/>
    <col min="10510" max="10510" width="12.28515625" style="430" customWidth="1"/>
    <col min="10511" max="10511" width="10.85546875" style="430" customWidth="1"/>
    <col min="10512" max="10512" width="13.85546875" style="430" customWidth="1"/>
    <col min="10513" max="10752" width="9.140625" style="430"/>
    <col min="10753" max="10753" width="19.42578125" style="430" customWidth="1"/>
    <col min="10754" max="10754" width="12.5703125" style="430" customWidth="1"/>
    <col min="10755" max="10757" width="14.85546875" style="430" customWidth="1"/>
    <col min="10758" max="10761" width="15.140625" style="430" customWidth="1"/>
    <col min="10762" max="10762" width="13.140625" style="430" customWidth="1"/>
    <col min="10763" max="10763" width="11.28515625" style="430" customWidth="1"/>
    <col min="10764" max="10764" width="12.5703125" style="430" customWidth="1"/>
    <col min="10765" max="10765" width="11.85546875" style="430" customWidth="1"/>
    <col min="10766" max="10766" width="12.28515625" style="430" customWidth="1"/>
    <col min="10767" max="10767" width="10.85546875" style="430" customWidth="1"/>
    <col min="10768" max="10768" width="13.85546875" style="430" customWidth="1"/>
    <col min="10769" max="11008" width="9.140625" style="430"/>
    <col min="11009" max="11009" width="19.42578125" style="430" customWidth="1"/>
    <col min="11010" max="11010" width="12.5703125" style="430" customWidth="1"/>
    <col min="11011" max="11013" width="14.85546875" style="430" customWidth="1"/>
    <col min="11014" max="11017" width="15.140625" style="430" customWidth="1"/>
    <col min="11018" max="11018" width="13.140625" style="430" customWidth="1"/>
    <col min="11019" max="11019" width="11.28515625" style="430" customWidth="1"/>
    <col min="11020" max="11020" width="12.5703125" style="430" customWidth="1"/>
    <col min="11021" max="11021" width="11.85546875" style="430" customWidth="1"/>
    <col min="11022" max="11022" width="12.28515625" style="430" customWidth="1"/>
    <col min="11023" max="11023" width="10.85546875" style="430" customWidth="1"/>
    <col min="11024" max="11024" width="13.85546875" style="430" customWidth="1"/>
    <col min="11025" max="11264" width="9.140625" style="430"/>
    <col min="11265" max="11265" width="19.42578125" style="430" customWidth="1"/>
    <col min="11266" max="11266" width="12.5703125" style="430" customWidth="1"/>
    <col min="11267" max="11269" width="14.85546875" style="430" customWidth="1"/>
    <col min="11270" max="11273" width="15.140625" style="430" customWidth="1"/>
    <col min="11274" max="11274" width="13.140625" style="430" customWidth="1"/>
    <col min="11275" max="11275" width="11.28515625" style="430" customWidth="1"/>
    <col min="11276" max="11276" width="12.5703125" style="430" customWidth="1"/>
    <col min="11277" max="11277" width="11.85546875" style="430" customWidth="1"/>
    <col min="11278" max="11278" width="12.28515625" style="430" customWidth="1"/>
    <col min="11279" max="11279" width="10.85546875" style="430" customWidth="1"/>
    <col min="11280" max="11280" width="13.85546875" style="430" customWidth="1"/>
    <col min="11281" max="11520" width="9.140625" style="430"/>
    <col min="11521" max="11521" width="19.42578125" style="430" customWidth="1"/>
    <col min="11522" max="11522" width="12.5703125" style="430" customWidth="1"/>
    <col min="11523" max="11525" width="14.85546875" style="430" customWidth="1"/>
    <col min="11526" max="11529" width="15.140625" style="430" customWidth="1"/>
    <col min="11530" max="11530" width="13.140625" style="430" customWidth="1"/>
    <col min="11531" max="11531" width="11.28515625" style="430" customWidth="1"/>
    <col min="11532" max="11532" width="12.5703125" style="430" customWidth="1"/>
    <col min="11533" max="11533" width="11.85546875" style="430" customWidth="1"/>
    <col min="11534" max="11534" width="12.28515625" style="430" customWidth="1"/>
    <col min="11535" max="11535" width="10.85546875" style="430" customWidth="1"/>
    <col min="11536" max="11536" width="13.85546875" style="430" customWidth="1"/>
    <col min="11537" max="11776" width="9.140625" style="430"/>
    <col min="11777" max="11777" width="19.42578125" style="430" customWidth="1"/>
    <col min="11778" max="11778" width="12.5703125" style="430" customWidth="1"/>
    <col min="11779" max="11781" width="14.85546875" style="430" customWidth="1"/>
    <col min="11782" max="11785" width="15.140625" style="430" customWidth="1"/>
    <col min="11786" max="11786" width="13.140625" style="430" customWidth="1"/>
    <col min="11787" max="11787" width="11.28515625" style="430" customWidth="1"/>
    <col min="11788" max="11788" width="12.5703125" style="430" customWidth="1"/>
    <col min="11789" max="11789" width="11.85546875" style="430" customWidth="1"/>
    <col min="11790" max="11790" width="12.28515625" style="430" customWidth="1"/>
    <col min="11791" max="11791" width="10.85546875" style="430" customWidth="1"/>
    <col min="11792" max="11792" width="13.85546875" style="430" customWidth="1"/>
    <col min="11793" max="12032" width="9.140625" style="430"/>
    <col min="12033" max="12033" width="19.42578125" style="430" customWidth="1"/>
    <col min="12034" max="12034" width="12.5703125" style="430" customWidth="1"/>
    <col min="12035" max="12037" width="14.85546875" style="430" customWidth="1"/>
    <col min="12038" max="12041" width="15.140625" style="430" customWidth="1"/>
    <col min="12042" max="12042" width="13.140625" style="430" customWidth="1"/>
    <col min="12043" max="12043" width="11.28515625" style="430" customWidth="1"/>
    <col min="12044" max="12044" width="12.5703125" style="430" customWidth="1"/>
    <col min="12045" max="12045" width="11.85546875" style="430" customWidth="1"/>
    <col min="12046" max="12046" width="12.28515625" style="430" customWidth="1"/>
    <col min="12047" max="12047" width="10.85546875" style="430" customWidth="1"/>
    <col min="12048" max="12048" width="13.85546875" style="430" customWidth="1"/>
    <col min="12049" max="12288" width="9.140625" style="430"/>
    <col min="12289" max="12289" width="19.42578125" style="430" customWidth="1"/>
    <col min="12290" max="12290" width="12.5703125" style="430" customWidth="1"/>
    <col min="12291" max="12293" width="14.85546875" style="430" customWidth="1"/>
    <col min="12294" max="12297" width="15.140625" style="430" customWidth="1"/>
    <col min="12298" max="12298" width="13.140625" style="430" customWidth="1"/>
    <col min="12299" max="12299" width="11.28515625" style="430" customWidth="1"/>
    <col min="12300" max="12300" width="12.5703125" style="430" customWidth="1"/>
    <col min="12301" max="12301" width="11.85546875" style="430" customWidth="1"/>
    <col min="12302" max="12302" width="12.28515625" style="430" customWidth="1"/>
    <col min="12303" max="12303" width="10.85546875" style="430" customWidth="1"/>
    <col min="12304" max="12304" width="13.85546875" style="430" customWidth="1"/>
    <col min="12305" max="12544" width="9.140625" style="430"/>
    <col min="12545" max="12545" width="19.42578125" style="430" customWidth="1"/>
    <col min="12546" max="12546" width="12.5703125" style="430" customWidth="1"/>
    <col min="12547" max="12549" width="14.85546875" style="430" customWidth="1"/>
    <col min="12550" max="12553" width="15.140625" style="430" customWidth="1"/>
    <col min="12554" max="12554" width="13.140625" style="430" customWidth="1"/>
    <col min="12555" max="12555" width="11.28515625" style="430" customWidth="1"/>
    <col min="12556" max="12556" width="12.5703125" style="430" customWidth="1"/>
    <col min="12557" max="12557" width="11.85546875" style="430" customWidth="1"/>
    <col min="12558" max="12558" width="12.28515625" style="430" customWidth="1"/>
    <col min="12559" max="12559" width="10.85546875" style="430" customWidth="1"/>
    <col min="12560" max="12560" width="13.85546875" style="430" customWidth="1"/>
    <col min="12561" max="12800" width="9.140625" style="430"/>
    <col min="12801" max="12801" width="19.42578125" style="430" customWidth="1"/>
    <col min="12802" max="12802" width="12.5703125" style="430" customWidth="1"/>
    <col min="12803" max="12805" width="14.85546875" style="430" customWidth="1"/>
    <col min="12806" max="12809" width="15.140625" style="430" customWidth="1"/>
    <col min="12810" max="12810" width="13.140625" style="430" customWidth="1"/>
    <col min="12811" max="12811" width="11.28515625" style="430" customWidth="1"/>
    <col min="12812" max="12812" width="12.5703125" style="430" customWidth="1"/>
    <col min="12813" max="12813" width="11.85546875" style="430" customWidth="1"/>
    <col min="12814" max="12814" width="12.28515625" style="430" customWidth="1"/>
    <col min="12815" max="12815" width="10.85546875" style="430" customWidth="1"/>
    <col min="12816" max="12816" width="13.85546875" style="430" customWidth="1"/>
    <col min="12817" max="13056" width="9.140625" style="430"/>
    <col min="13057" max="13057" width="19.42578125" style="430" customWidth="1"/>
    <col min="13058" max="13058" width="12.5703125" style="430" customWidth="1"/>
    <col min="13059" max="13061" width="14.85546875" style="430" customWidth="1"/>
    <col min="13062" max="13065" width="15.140625" style="430" customWidth="1"/>
    <col min="13066" max="13066" width="13.140625" style="430" customWidth="1"/>
    <col min="13067" max="13067" width="11.28515625" style="430" customWidth="1"/>
    <col min="13068" max="13068" width="12.5703125" style="430" customWidth="1"/>
    <col min="13069" max="13069" width="11.85546875" style="430" customWidth="1"/>
    <col min="13070" max="13070" width="12.28515625" style="430" customWidth="1"/>
    <col min="13071" max="13071" width="10.85546875" style="430" customWidth="1"/>
    <col min="13072" max="13072" width="13.85546875" style="430" customWidth="1"/>
    <col min="13073" max="13312" width="9.140625" style="430"/>
    <col min="13313" max="13313" width="19.42578125" style="430" customWidth="1"/>
    <col min="13314" max="13314" width="12.5703125" style="430" customWidth="1"/>
    <col min="13315" max="13317" width="14.85546875" style="430" customWidth="1"/>
    <col min="13318" max="13321" width="15.140625" style="430" customWidth="1"/>
    <col min="13322" max="13322" width="13.140625" style="430" customWidth="1"/>
    <col min="13323" max="13323" width="11.28515625" style="430" customWidth="1"/>
    <col min="13324" max="13324" width="12.5703125" style="430" customWidth="1"/>
    <col min="13325" max="13325" width="11.85546875" style="430" customWidth="1"/>
    <col min="13326" max="13326" width="12.28515625" style="430" customWidth="1"/>
    <col min="13327" max="13327" width="10.85546875" style="430" customWidth="1"/>
    <col min="13328" max="13328" width="13.85546875" style="430" customWidth="1"/>
    <col min="13329" max="13568" width="9.140625" style="430"/>
    <col min="13569" max="13569" width="19.42578125" style="430" customWidth="1"/>
    <col min="13570" max="13570" width="12.5703125" style="430" customWidth="1"/>
    <col min="13571" max="13573" width="14.85546875" style="430" customWidth="1"/>
    <col min="13574" max="13577" width="15.140625" style="430" customWidth="1"/>
    <col min="13578" max="13578" width="13.140625" style="430" customWidth="1"/>
    <col min="13579" max="13579" width="11.28515625" style="430" customWidth="1"/>
    <col min="13580" max="13580" width="12.5703125" style="430" customWidth="1"/>
    <col min="13581" max="13581" width="11.85546875" style="430" customWidth="1"/>
    <col min="13582" max="13582" width="12.28515625" style="430" customWidth="1"/>
    <col min="13583" max="13583" width="10.85546875" style="430" customWidth="1"/>
    <col min="13584" max="13584" width="13.85546875" style="430" customWidth="1"/>
    <col min="13585" max="13824" width="9.140625" style="430"/>
    <col min="13825" max="13825" width="19.42578125" style="430" customWidth="1"/>
    <col min="13826" max="13826" width="12.5703125" style="430" customWidth="1"/>
    <col min="13827" max="13829" width="14.85546875" style="430" customWidth="1"/>
    <col min="13830" max="13833" width="15.140625" style="430" customWidth="1"/>
    <col min="13834" max="13834" width="13.140625" style="430" customWidth="1"/>
    <col min="13835" max="13835" width="11.28515625" style="430" customWidth="1"/>
    <col min="13836" max="13836" width="12.5703125" style="430" customWidth="1"/>
    <col min="13837" max="13837" width="11.85546875" style="430" customWidth="1"/>
    <col min="13838" max="13838" width="12.28515625" style="430" customWidth="1"/>
    <col min="13839" max="13839" width="10.85546875" style="430" customWidth="1"/>
    <col min="13840" max="13840" width="13.85546875" style="430" customWidth="1"/>
    <col min="13841" max="14080" width="9.140625" style="430"/>
    <col min="14081" max="14081" width="19.42578125" style="430" customWidth="1"/>
    <col min="14082" max="14082" width="12.5703125" style="430" customWidth="1"/>
    <col min="14083" max="14085" width="14.85546875" style="430" customWidth="1"/>
    <col min="14086" max="14089" width="15.140625" style="430" customWidth="1"/>
    <col min="14090" max="14090" width="13.140625" style="430" customWidth="1"/>
    <col min="14091" max="14091" width="11.28515625" style="430" customWidth="1"/>
    <col min="14092" max="14092" width="12.5703125" style="430" customWidth="1"/>
    <col min="14093" max="14093" width="11.85546875" style="430" customWidth="1"/>
    <col min="14094" max="14094" width="12.28515625" style="430" customWidth="1"/>
    <col min="14095" max="14095" width="10.85546875" style="430" customWidth="1"/>
    <col min="14096" max="14096" width="13.85546875" style="430" customWidth="1"/>
    <col min="14097" max="14336" width="9.140625" style="430"/>
    <col min="14337" max="14337" width="19.42578125" style="430" customWidth="1"/>
    <col min="14338" max="14338" width="12.5703125" style="430" customWidth="1"/>
    <col min="14339" max="14341" width="14.85546875" style="430" customWidth="1"/>
    <col min="14342" max="14345" width="15.140625" style="430" customWidth="1"/>
    <col min="14346" max="14346" width="13.140625" style="430" customWidth="1"/>
    <col min="14347" max="14347" width="11.28515625" style="430" customWidth="1"/>
    <col min="14348" max="14348" width="12.5703125" style="430" customWidth="1"/>
    <col min="14349" max="14349" width="11.85546875" style="430" customWidth="1"/>
    <col min="14350" max="14350" width="12.28515625" style="430" customWidth="1"/>
    <col min="14351" max="14351" width="10.85546875" style="430" customWidth="1"/>
    <col min="14352" max="14352" width="13.85546875" style="430" customWidth="1"/>
    <col min="14353" max="14592" width="9.140625" style="430"/>
    <col min="14593" max="14593" width="19.42578125" style="430" customWidth="1"/>
    <col min="14594" max="14594" width="12.5703125" style="430" customWidth="1"/>
    <col min="14595" max="14597" width="14.85546875" style="430" customWidth="1"/>
    <col min="14598" max="14601" width="15.140625" style="430" customWidth="1"/>
    <col min="14602" max="14602" width="13.140625" style="430" customWidth="1"/>
    <col min="14603" max="14603" width="11.28515625" style="430" customWidth="1"/>
    <col min="14604" max="14604" width="12.5703125" style="430" customWidth="1"/>
    <col min="14605" max="14605" width="11.85546875" style="430" customWidth="1"/>
    <col min="14606" max="14606" width="12.28515625" style="430" customWidth="1"/>
    <col min="14607" max="14607" width="10.85546875" style="430" customWidth="1"/>
    <col min="14608" max="14608" width="13.85546875" style="430" customWidth="1"/>
    <col min="14609" max="14848" width="9.140625" style="430"/>
    <col min="14849" max="14849" width="19.42578125" style="430" customWidth="1"/>
    <col min="14850" max="14850" width="12.5703125" style="430" customWidth="1"/>
    <col min="14851" max="14853" width="14.85546875" style="430" customWidth="1"/>
    <col min="14854" max="14857" width="15.140625" style="430" customWidth="1"/>
    <col min="14858" max="14858" width="13.140625" style="430" customWidth="1"/>
    <col min="14859" max="14859" width="11.28515625" style="430" customWidth="1"/>
    <col min="14860" max="14860" width="12.5703125" style="430" customWidth="1"/>
    <col min="14861" max="14861" width="11.85546875" style="430" customWidth="1"/>
    <col min="14862" max="14862" width="12.28515625" style="430" customWidth="1"/>
    <col min="14863" max="14863" width="10.85546875" style="430" customWidth="1"/>
    <col min="14864" max="14864" width="13.85546875" style="430" customWidth="1"/>
    <col min="14865" max="15104" width="9.140625" style="430"/>
    <col min="15105" max="15105" width="19.42578125" style="430" customWidth="1"/>
    <col min="15106" max="15106" width="12.5703125" style="430" customWidth="1"/>
    <col min="15107" max="15109" width="14.85546875" style="430" customWidth="1"/>
    <col min="15110" max="15113" width="15.140625" style="430" customWidth="1"/>
    <col min="15114" max="15114" width="13.140625" style="430" customWidth="1"/>
    <col min="15115" max="15115" width="11.28515625" style="430" customWidth="1"/>
    <col min="15116" max="15116" width="12.5703125" style="430" customWidth="1"/>
    <col min="15117" max="15117" width="11.85546875" style="430" customWidth="1"/>
    <col min="15118" max="15118" width="12.28515625" style="430" customWidth="1"/>
    <col min="15119" max="15119" width="10.85546875" style="430" customWidth="1"/>
    <col min="15120" max="15120" width="13.85546875" style="430" customWidth="1"/>
    <col min="15121" max="15360" width="9.140625" style="430"/>
    <col min="15361" max="15361" width="19.42578125" style="430" customWidth="1"/>
    <col min="15362" max="15362" width="12.5703125" style="430" customWidth="1"/>
    <col min="15363" max="15365" width="14.85546875" style="430" customWidth="1"/>
    <col min="15366" max="15369" width="15.140625" style="430" customWidth="1"/>
    <col min="15370" max="15370" width="13.140625" style="430" customWidth="1"/>
    <col min="15371" max="15371" width="11.28515625" style="430" customWidth="1"/>
    <col min="15372" max="15372" width="12.5703125" style="430" customWidth="1"/>
    <col min="15373" max="15373" width="11.85546875" style="430" customWidth="1"/>
    <col min="15374" max="15374" width="12.28515625" style="430" customWidth="1"/>
    <col min="15375" max="15375" width="10.85546875" style="430" customWidth="1"/>
    <col min="15376" max="15376" width="13.85546875" style="430" customWidth="1"/>
    <col min="15377" max="15616" width="9.140625" style="430"/>
    <col min="15617" max="15617" width="19.42578125" style="430" customWidth="1"/>
    <col min="15618" max="15618" width="12.5703125" style="430" customWidth="1"/>
    <col min="15619" max="15621" width="14.85546875" style="430" customWidth="1"/>
    <col min="15622" max="15625" width="15.140625" style="430" customWidth="1"/>
    <col min="15626" max="15626" width="13.140625" style="430" customWidth="1"/>
    <col min="15627" max="15627" width="11.28515625" style="430" customWidth="1"/>
    <col min="15628" max="15628" width="12.5703125" style="430" customWidth="1"/>
    <col min="15629" max="15629" width="11.85546875" style="430" customWidth="1"/>
    <col min="15630" max="15630" width="12.28515625" style="430" customWidth="1"/>
    <col min="15631" max="15631" width="10.85546875" style="430" customWidth="1"/>
    <col min="15632" max="15632" width="13.85546875" style="430" customWidth="1"/>
    <col min="15633" max="15872" width="9.140625" style="430"/>
    <col min="15873" max="15873" width="19.42578125" style="430" customWidth="1"/>
    <col min="15874" max="15874" width="12.5703125" style="430" customWidth="1"/>
    <col min="15875" max="15877" width="14.85546875" style="430" customWidth="1"/>
    <col min="15878" max="15881" width="15.140625" style="430" customWidth="1"/>
    <col min="15882" max="15882" width="13.140625" style="430" customWidth="1"/>
    <col min="15883" max="15883" width="11.28515625" style="430" customWidth="1"/>
    <col min="15884" max="15884" width="12.5703125" style="430" customWidth="1"/>
    <col min="15885" max="15885" width="11.85546875" style="430" customWidth="1"/>
    <col min="15886" max="15886" width="12.28515625" style="430" customWidth="1"/>
    <col min="15887" max="15887" width="10.85546875" style="430" customWidth="1"/>
    <col min="15888" max="15888" width="13.85546875" style="430" customWidth="1"/>
    <col min="15889" max="16128" width="9.140625" style="430"/>
    <col min="16129" max="16129" width="19.42578125" style="430" customWidth="1"/>
    <col min="16130" max="16130" width="12.5703125" style="430" customWidth="1"/>
    <col min="16131" max="16133" width="14.85546875" style="430" customWidth="1"/>
    <col min="16134" max="16137" width="15.140625" style="430" customWidth="1"/>
    <col min="16138" max="16138" width="13.140625" style="430" customWidth="1"/>
    <col min="16139" max="16139" width="11.28515625" style="430" customWidth="1"/>
    <col min="16140" max="16140" width="12.5703125" style="430" customWidth="1"/>
    <col min="16141" max="16141" width="11.85546875" style="430" customWidth="1"/>
    <col min="16142" max="16142" width="12.28515625" style="430" customWidth="1"/>
    <col min="16143" max="16143" width="10.85546875" style="430" customWidth="1"/>
    <col min="16144" max="16144" width="13.85546875" style="430" customWidth="1"/>
    <col min="16145" max="16384" width="9.140625" style="430"/>
  </cols>
  <sheetData>
    <row r="1" spans="1:16" ht="18">
      <c r="A1" s="429" t="s">
        <v>360</v>
      </c>
    </row>
    <row r="2" spans="1:16" ht="16.5" thickBot="1">
      <c r="A2" s="431"/>
      <c r="B2" s="432" t="s">
        <v>361</v>
      </c>
      <c r="C2" s="433"/>
      <c r="D2" s="865" t="s">
        <v>362</v>
      </c>
      <c r="E2" s="865"/>
      <c r="F2" s="865"/>
      <c r="G2" s="865"/>
      <c r="H2" s="865"/>
      <c r="I2" s="865"/>
    </row>
    <row r="3" spans="1:16" ht="66" customHeight="1" thickBot="1">
      <c r="A3" s="434" t="s">
        <v>363</v>
      </c>
      <c r="B3" s="435" t="s">
        <v>364</v>
      </c>
      <c r="C3" s="436" t="s">
        <v>365</v>
      </c>
      <c r="D3" s="435" t="s">
        <v>366</v>
      </c>
      <c r="E3" s="435" t="s">
        <v>367</v>
      </c>
      <c r="F3" s="437" t="s">
        <v>368</v>
      </c>
      <c r="G3" s="437" t="s">
        <v>369</v>
      </c>
      <c r="H3" s="437" t="s">
        <v>370</v>
      </c>
      <c r="I3" s="437" t="s">
        <v>371</v>
      </c>
      <c r="J3" s="438" t="s">
        <v>372</v>
      </c>
      <c r="K3" s="435" t="s">
        <v>373</v>
      </c>
      <c r="L3" s="435" t="s">
        <v>374</v>
      </c>
      <c r="M3" s="435" t="s">
        <v>375</v>
      </c>
      <c r="N3" s="435" t="s">
        <v>376</v>
      </c>
      <c r="O3" s="435" t="s">
        <v>377</v>
      </c>
      <c r="P3" s="435" t="s">
        <v>378</v>
      </c>
    </row>
    <row r="4" spans="1:16" ht="43.5" thickTop="1">
      <c r="A4" s="439" t="s">
        <v>346</v>
      </c>
      <c r="B4" s="440" t="s">
        <v>347</v>
      </c>
      <c r="C4" s="441" t="s">
        <v>379</v>
      </c>
      <c r="D4" s="442">
        <f>'[2]1-USA-states'!E4</f>
        <v>0.11004579952888242</v>
      </c>
      <c r="E4" s="443">
        <f>'[2]1-USA-states'!F4</f>
        <v>0.11509934472294457</v>
      </c>
      <c r="F4" s="444">
        <f>'[2]1-USA-states'!G4</f>
        <v>5.0820646397932716E-4</v>
      </c>
      <c r="G4" s="444" t="str">
        <f>'[2]1-USA-states'!H4</f>
        <v>tbd</v>
      </c>
      <c r="H4" s="444" t="str">
        <f>'[2]1-USA-states'!I4</f>
        <v>tbd</v>
      </c>
      <c r="I4" s="444" t="str">
        <f>'[2]1-USA-states'!J4</f>
        <v>tbd</v>
      </c>
      <c r="J4" s="445">
        <f>ROUND(E4*E$9,-3)</f>
        <v>270000</v>
      </c>
      <c r="K4" s="445">
        <f>ROUND((J4/B$22)*B$23,-2)</f>
        <v>47600</v>
      </c>
      <c r="L4" s="445">
        <f t="shared" ref="L4:N8" si="0">J4*B26+K4*E26</f>
        <v>206400</v>
      </c>
      <c r="M4" s="445">
        <f t="shared" si="0"/>
        <v>219880</v>
      </c>
      <c r="N4" s="445">
        <f t="shared" si="0"/>
        <v>270806</v>
      </c>
      <c r="O4" s="446">
        <v>3000</v>
      </c>
      <c r="P4" s="445">
        <f t="shared" ref="P4:P9" si="1">SUM(L4:O4)</f>
        <v>700086</v>
      </c>
    </row>
    <row r="5" spans="1:16" ht="49.5" customHeight="1">
      <c r="A5" s="439" t="s">
        <v>348</v>
      </c>
      <c r="B5" s="440" t="s">
        <v>349</v>
      </c>
      <c r="C5" s="441" t="s">
        <v>380</v>
      </c>
      <c r="D5" s="447">
        <f>'[2]1-USA-states'!E5</f>
        <v>0.34676848280212075</v>
      </c>
      <c r="E5" s="448">
        <f>'[2]1-USA-states'!F5</f>
        <v>0.34309977887634052</v>
      </c>
      <c r="F5" s="448">
        <f>'[2]1-USA-states'!G5</f>
        <v>6.3224267036522726E-3</v>
      </c>
      <c r="G5" s="448" t="str">
        <f>'[2]1-USA-states'!H5</f>
        <v>tbd</v>
      </c>
      <c r="H5" s="448" t="str">
        <f>'[2]1-USA-states'!I5</f>
        <v>tbd</v>
      </c>
      <c r="I5" s="448" t="str">
        <f>'[2]1-USA-states'!J5</f>
        <v>tbd</v>
      </c>
      <c r="J5" s="445">
        <f>ROUND(E5*E$9,-3)</f>
        <v>805000</v>
      </c>
      <c r="K5" s="445">
        <f>ROUND((J5/B$22)*B$23,-2)</f>
        <v>142100</v>
      </c>
      <c r="L5" s="445">
        <f t="shared" si="0"/>
        <v>615650</v>
      </c>
      <c r="M5" s="445">
        <f t="shared" si="0"/>
        <v>686700</v>
      </c>
      <c r="N5" s="445">
        <f t="shared" si="0"/>
        <v>871395</v>
      </c>
      <c r="O5" s="446">
        <v>10000</v>
      </c>
      <c r="P5" s="445">
        <f t="shared" si="1"/>
        <v>2183745</v>
      </c>
    </row>
    <row r="6" spans="1:16" ht="79.5" customHeight="1">
      <c r="A6" s="439" t="s">
        <v>350</v>
      </c>
      <c r="B6" s="440" t="s">
        <v>351</v>
      </c>
      <c r="C6" s="441" t="s">
        <v>381</v>
      </c>
      <c r="D6" s="447">
        <f>'[2]1-USA-states'!E6</f>
        <v>0.30686136070140219</v>
      </c>
      <c r="E6" s="448">
        <f>'[2]1-USA-states'!F6</f>
        <v>0.29769103797812574</v>
      </c>
      <c r="F6" s="448">
        <f>'[2]1-USA-states'!G6</f>
        <v>3.2481398146060644E-2</v>
      </c>
      <c r="G6" s="448" t="str">
        <f>'[2]1-USA-states'!H6</f>
        <v>tbd</v>
      </c>
      <c r="H6" s="448" t="str">
        <f>'[2]1-USA-states'!I6</f>
        <v>tbd</v>
      </c>
      <c r="I6" s="448" t="str">
        <f>'[2]1-USA-states'!J6</f>
        <v>tbd</v>
      </c>
      <c r="J6" s="445">
        <f>ROUND(E6*E$9,-3)</f>
        <v>698000</v>
      </c>
      <c r="K6" s="445">
        <f>ROUND((J6/B$22)*B$23,-2)</f>
        <v>123200</v>
      </c>
      <c r="L6" s="445">
        <f t="shared" si="0"/>
        <v>882800</v>
      </c>
      <c r="M6" s="445">
        <f t="shared" si="0"/>
        <v>943380</v>
      </c>
      <c r="N6" s="445">
        <f t="shared" si="0"/>
        <v>2725420</v>
      </c>
      <c r="O6" s="446">
        <v>9000</v>
      </c>
      <c r="P6" s="445">
        <f t="shared" si="1"/>
        <v>4560600</v>
      </c>
    </row>
    <row r="7" spans="1:16" ht="72" customHeight="1">
      <c r="A7" s="449" t="s">
        <v>352</v>
      </c>
      <c r="B7" s="440" t="s">
        <v>353</v>
      </c>
      <c r="C7" s="441" t="s">
        <v>382</v>
      </c>
      <c r="D7" s="447">
        <f>'[2]1-USA-states'!E7</f>
        <v>0.16997223443718193</v>
      </c>
      <c r="E7" s="448">
        <f>'[2]1-USA-states'!F7</f>
        <v>0.17600878357712327</v>
      </c>
      <c r="F7" s="448">
        <f>'[2]1-USA-states'!G7</f>
        <v>0.22714742758765183</v>
      </c>
      <c r="G7" s="448" t="str">
        <f>'[2]1-USA-states'!H7</f>
        <v>tbd</v>
      </c>
      <c r="H7" s="448" t="str">
        <f>'[2]1-USA-states'!I7</f>
        <v>tbd</v>
      </c>
      <c r="I7" s="448" t="str">
        <f>'[2]1-USA-states'!J7</f>
        <v>tbd</v>
      </c>
      <c r="J7" s="445">
        <f>ROUND(E7*E$9,-3)</f>
        <v>413000</v>
      </c>
      <c r="K7" s="445">
        <f>ROUND((J7/B$22)*B$23,-2)</f>
        <v>72900</v>
      </c>
      <c r="L7" s="445">
        <f t="shared" si="0"/>
        <v>485900</v>
      </c>
      <c r="M7" s="445">
        <f t="shared" si="0"/>
        <v>498055</v>
      </c>
      <c r="N7" s="445">
        <f t="shared" si="0"/>
        <v>741005</v>
      </c>
      <c r="O7" s="446">
        <v>3000</v>
      </c>
      <c r="P7" s="445">
        <f t="shared" si="1"/>
        <v>1727960</v>
      </c>
    </row>
    <row r="8" spans="1:16" ht="42.75">
      <c r="A8" s="450" t="s">
        <v>354</v>
      </c>
      <c r="B8" s="440" t="s">
        <v>355</v>
      </c>
      <c r="C8" s="441" t="s">
        <v>383</v>
      </c>
      <c r="D8" s="447">
        <f>'[2]1-USA-states'!E8</f>
        <v>4.1862479337015784E-2</v>
      </c>
      <c r="E8" s="448">
        <f>'[2]1-USA-states'!F8</f>
        <v>4.6550515915997355E-2</v>
      </c>
      <c r="F8" s="448">
        <f>'[2]1-USA-states'!G8</f>
        <v>0.72267346369955687</v>
      </c>
      <c r="G8" s="448" t="str">
        <f>'[2]1-USA-states'!H8</f>
        <v>tbd</v>
      </c>
      <c r="H8" s="448" t="str">
        <f>'[2]1-USA-states'!I8</f>
        <v>tbd</v>
      </c>
      <c r="I8" s="448" t="str">
        <f>'[2]1-USA-states'!J8</f>
        <v>tbd</v>
      </c>
      <c r="J8" s="445">
        <f>ROUND(E8*E$9,-3)</f>
        <v>109000</v>
      </c>
      <c r="K8" s="445">
        <f>ROUND((J8/B$22)*B$23,-2)</f>
        <v>19200</v>
      </c>
      <c r="L8" s="445">
        <f t="shared" si="0"/>
        <v>107700</v>
      </c>
      <c r="M8" s="445">
        <f t="shared" si="0"/>
        <v>108075</v>
      </c>
      <c r="N8" s="445">
        <f t="shared" si="0"/>
        <v>43155</v>
      </c>
      <c r="O8" s="446">
        <v>1300</v>
      </c>
      <c r="P8" s="445">
        <f t="shared" si="1"/>
        <v>260230</v>
      </c>
    </row>
    <row r="9" spans="1:16" ht="31.5" customHeight="1">
      <c r="A9" s="451" t="s">
        <v>384</v>
      </c>
      <c r="D9" s="452">
        <f>ROUND('[2]1-USA-states'!E10/50,-3)</f>
        <v>5703000</v>
      </c>
      <c r="E9" s="452">
        <f>ROUND('[2]1-USA-states'!F10/50,-3)</f>
        <v>2346000</v>
      </c>
      <c r="F9" s="452">
        <f>ROUND('[2]1-USA-states'!G10/50,-3)</f>
        <v>71000</v>
      </c>
      <c r="G9" s="452" t="e">
        <f>ROUND('[2]1-USA-states'!H10/50,-3)</f>
        <v>#VALUE!</v>
      </c>
      <c r="H9" s="452" t="e">
        <f>ROUND('[2]1-USA-states'!I10/50,-3)</f>
        <v>#VALUE!</v>
      </c>
      <c r="I9" s="452" t="e">
        <f>ROUND('[2]1-USA-states'!J10/50,-3)</f>
        <v>#VALUE!</v>
      </c>
      <c r="J9" s="445">
        <f t="shared" ref="J9:O9" si="2">SUM(J4:J8)</f>
        <v>2295000</v>
      </c>
      <c r="K9" s="445">
        <f t="shared" si="2"/>
        <v>405000</v>
      </c>
      <c r="L9" s="445">
        <f t="shared" si="2"/>
        <v>2298450</v>
      </c>
      <c r="M9" s="445">
        <f t="shared" si="2"/>
        <v>2456090</v>
      </c>
      <c r="N9" s="445">
        <f t="shared" si="2"/>
        <v>4651781</v>
      </c>
      <c r="O9" s="445">
        <f t="shared" si="2"/>
        <v>26300</v>
      </c>
      <c r="P9" s="445">
        <f t="shared" si="1"/>
        <v>9432621</v>
      </c>
    </row>
    <row r="10" spans="1:16" ht="15.75">
      <c r="A10" s="453" t="s">
        <v>227</v>
      </c>
      <c r="D10" s="454"/>
      <c r="E10" s="454"/>
      <c r="F10" s="454"/>
      <c r="G10" s="454"/>
      <c r="H10" s="454"/>
      <c r="I10" s="454"/>
    </row>
    <row r="11" spans="1:16" ht="15">
      <c r="A11" s="455" t="s">
        <v>385</v>
      </c>
    </row>
    <row r="12" spans="1:16" ht="15">
      <c r="A12" s="455" t="s">
        <v>386</v>
      </c>
    </row>
    <row r="13" spans="1:16" ht="15">
      <c r="A13" s="455" t="s">
        <v>387</v>
      </c>
    </row>
    <row r="14" spans="1:16" ht="15">
      <c r="A14" s="455" t="s">
        <v>388</v>
      </c>
    </row>
    <row r="15" spans="1:16" ht="15">
      <c r="A15" s="431" t="s">
        <v>389</v>
      </c>
    </row>
    <row r="16" spans="1:16" ht="15">
      <c r="A16" s="431" t="s">
        <v>390</v>
      </c>
    </row>
    <row r="17" spans="1:14" ht="15">
      <c r="A17" s="431" t="s">
        <v>391</v>
      </c>
    </row>
    <row r="18" spans="1:14" ht="15">
      <c r="A18" s="431" t="s">
        <v>392</v>
      </c>
      <c r="D18" s="456"/>
      <c r="E18" s="456"/>
      <c r="F18" s="456"/>
      <c r="G18" s="456"/>
      <c r="H18" s="456"/>
      <c r="I18" s="456"/>
      <c r="J18" s="456"/>
      <c r="K18" s="456"/>
      <c r="L18" s="456"/>
      <c r="M18" s="457" t="s">
        <v>393</v>
      </c>
      <c r="N18" s="456"/>
    </row>
    <row r="19" spans="1:14" ht="15.75">
      <c r="A19" s="432" t="s">
        <v>394</v>
      </c>
      <c r="B19" s="866" t="s">
        <v>395</v>
      </c>
      <c r="C19" s="866"/>
      <c r="D19" s="456"/>
      <c r="E19" s="456"/>
      <c r="F19" s="456"/>
      <c r="G19" s="456"/>
      <c r="H19" s="456"/>
      <c r="I19" s="456"/>
      <c r="J19" s="456"/>
      <c r="K19" s="456"/>
      <c r="L19" s="456"/>
      <c r="M19" s="456"/>
      <c r="N19" s="456"/>
    </row>
    <row r="20" spans="1:14" ht="15.75">
      <c r="A20" s="432"/>
      <c r="C20" s="456"/>
      <c r="D20" s="456"/>
      <c r="E20" s="456"/>
      <c r="F20" s="456"/>
      <c r="G20" s="456"/>
      <c r="H20" s="456"/>
      <c r="I20" s="456"/>
      <c r="J20" s="456"/>
      <c r="K20" s="456"/>
      <c r="L20" s="456"/>
      <c r="M20" s="456"/>
      <c r="N20" s="456"/>
    </row>
    <row r="21" spans="1:14" ht="15.75">
      <c r="A21" s="432" t="s">
        <v>396</v>
      </c>
    </row>
    <row r="22" spans="1:14" ht="15">
      <c r="A22" s="431" t="s">
        <v>397</v>
      </c>
      <c r="B22" s="458">
        <v>0.85</v>
      </c>
    </row>
    <row r="23" spans="1:14" ht="15">
      <c r="A23" s="431" t="s">
        <v>398</v>
      </c>
      <c r="B23" s="458">
        <f>1-B22</f>
        <v>0.15000000000000002</v>
      </c>
    </row>
    <row r="24" spans="1:14">
      <c r="H24" s="459"/>
    </row>
    <row r="25" spans="1:14" ht="61.5" thickBot="1">
      <c r="A25" s="434" t="s">
        <v>363</v>
      </c>
      <c r="B25" s="460" t="s">
        <v>399</v>
      </c>
      <c r="C25" s="460" t="s">
        <v>400</v>
      </c>
      <c r="D25" s="460" t="s">
        <v>401</v>
      </c>
      <c r="E25" s="460" t="s">
        <v>402</v>
      </c>
      <c r="F25" s="460" t="s">
        <v>403</v>
      </c>
      <c r="G25" s="460" t="s">
        <v>404</v>
      </c>
      <c r="H25" s="461" t="s">
        <v>405</v>
      </c>
      <c r="I25" s="462" t="s">
        <v>406</v>
      </c>
      <c r="J25" s="463" t="s">
        <v>407</v>
      </c>
    </row>
    <row r="26" spans="1:14" ht="19.5" thickTop="1">
      <c r="A26" s="464" t="s">
        <v>346</v>
      </c>
      <c r="B26" s="465">
        <v>0.5</v>
      </c>
      <c r="C26" s="465">
        <v>0.5</v>
      </c>
      <c r="D26" s="465">
        <v>0.3</v>
      </c>
      <c r="E26" s="470">
        <v>1.5</v>
      </c>
      <c r="F26" s="470">
        <v>0.95</v>
      </c>
      <c r="G26" s="471">
        <v>0.95</v>
      </c>
      <c r="H26" s="483">
        <v>20</v>
      </c>
      <c r="I26" s="484">
        <v>40</v>
      </c>
      <c r="J26" s="485">
        <v>50</v>
      </c>
    </row>
    <row r="27" spans="1:14" ht="18.75">
      <c r="A27" s="464" t="s">
        <v>348</v>
      </c>
      <c r="B27" s="466">
        <v>0.5</v>
      </c>
      <c r="C27" s="466">
        <v>0.5</v>
      </c>
      <c r="D27" s="466">
        <v>0.3</v>
      </c>
      <c r="E27" s="472">
        <v>1.5</v>
      </c>
      <c r="F27" s="472">
        <v>1</v>
      </c>
      <c r="G27" s="473">
        <v>1</v>
      </c>
      <c r="H27" s="486">
        <v>10</v>
      </c>
      <c r="I27" s="487">
        <v>20</v>
      </c>
      <c r="J27" s="488">
        <v>40</v>
      </c>
    </row>
    <row r="28" spans="1:14" ht="18.75">
      <c r="A28" s="464" t="s">
        <v>350</v>
      </c>
      <c r="B28" s="466">
        <v>1</v>
      </c>
      <c r="C28" s="466">
        <v>0.85</v>
      </c>
      <c r="D28" s="466">
        <v>0.95</v>
      </c>
      <c r="E28" s="472">
        <v>1.5</v>
      </c>
      <c r="F28" s="472">
        <v>0.95</v>
      </c>
      <c r="G28" s="473">
        <v>2</v>
      </c>
      <c r="H28" s="486">
        <v>5</v>
      </c>
      <c r="I28" s="487">
        <v>10</v>
      </c>
      <c r="J28" s="488">
        <v>30</v>
      </c>
    </row>
    <row r="29" spans="1:14" ht="18.75">
      <c r="A29" s="464" t="s">
        <v>352</v>
      </c>
      <c r="B29" s="466">
        <v>1</v>
      </c>
      <c r="C29" s="466">
        <v>0.5</v>
      </c>
      <c r="D29" s="466">
        <v>0.5</v>
      </c>
      <c r="E29" s="472">
        <v>1</v>
      </c>
      <c r="F29" s="472">
        <v>0.95</v>
      </c>
      <c r="G29" s="473">
        <v>1</v>
      </c>
      <c r="H29" s="486">
        <v>2</v>
      </c>
      <c r="I29" s="487">
        <v>4</v>
      </c>
      <c r="J29" s="488">
        <v>20</v>
      </c>
    </row>
    <row r="30" spans="1:14" ht="34.5">
      <c r="A30" s="467" t="s">
        <v>354</v>
      </c>
      <c r="B30" s="466">
        <v>0.9</v>
      </c>
      <c r="C30" s="466">
        <v>0.3</v>
      </c>
      <c r="D30" s="466">
        <v>0.2</v>
      </c>
      <c r="E30" s="472">
        <v>0.5</v>
      </c>
      <c r="F30" s="472">
        <v>0.95</v>
      </c>
      <c r="G30" s="473">
        <v>0.2</v>
      </c>
      <c r="H30" s="489">
        <v>1</v>
      </c>
      <c r="I30" s="490">
        <v>2</v>
      </c>
      <c r="J30" s="491">
        <v>10</v>
      </c>
    </row>
    <row r="31" spans="1:14">
      <c r="G31" s="430" t="s">
        <v>408</v>
      </c>
    </row>
    <row r="33" spans="1:11" ht="14.25">
      <c r="I33" s="498" t="s">
        <v>417</v>
      </c>
    </row>
    <row r="34" spans="1:11" ht="14.25">
      <c r="I34" s="498"/>
    </row>
    <row r="35" spans="1:11" ht="15.75">
      <c r="A35" s="475"/>
      <c r="B35" s="475"/>
      <c r="C35" s="475"/>
      <c r="D35" s="475"/>
      <c r="E35" s="475"/>
      <c r="F35" s="475"/>
      <c r="G35" s="525" t="s">
        <v>425</v>
      </c>
      <c r="H35" s="494"/>
      <c r="I35" s="494"/>
      <c r="J35" s="494"/>
      <c r="K35" s="496"/>
    </row>
    <row r="36" spans="1:11" ht="15.75">
      <c r="A36" s="499"/>
      <c r="B36" s="500"/>
      <c r="C36" s="500"/>
      <c r="D36" s="500"/>
      <c r="E36" s="500"/>
      <c r="F36" s="501" t="s">
        <v>409</v>
      </c>
      <c r="G36" s="591">
        <v>500</v>
      </c>
      <c r="H36" s="502"/>
      <c r="I36" s="503"/>
      <c r="J36" s="503"/>
      <c r="K36" s="504"/>
    </row>
    <row r="37" spans="1:11" ht="15.75">
      <c r="A37" s="523"/>
      <c r="B37" s="506"/>
      <c r="C37" s="506"/>
      <c r="D37" s="506"/>
      <c r="E37" s="506"/>
      <c r="F37" s="507" t="s">
        <v>413</v>
      </c>
      <c r="G37" s="508">
        <f>ROUND(G36/$B$22*B23,0)</f>
        <v>88</v>
      </c>
      <c r="H37" s="509"/>
      <c r="I37" s="475"/>
      <c r="J37" s="475"/>
      <c r="K37" s="510"/>
    </row>
    <row r="38" spans="1:11" ht="15.75">
      <c r="A38" s="523"/>
      <c r="B38" s="506"/>
      <c r="C38" s="506"/>
      <c r="D38" s="506"/>
      <c r="E38" s="506"/>
      <c r="F38" s="507" t="s">
        <v>359</v>
      </c>
      <c r="G38" s="592">
        <v>10</v>
      </c>
      <c r="H38" s="593" t="s">
        <v>549</v>
      </c>
      <c r="I38" s="475"/>
      <c r="J38" s="475"/>
      <c r="K38" s="510"/>
    </row>
    <row r="39" spans="1:11" ht="15.75">
      <c r="A39" s="523"/>
      <c r="B39" s="506"/>
      <c r="C39" s="506"/>
      <c r="D39" s="506"/>
      <c r="E39" s="506"/>
      <c r="F39" s="507" t="s">
        <v>562</v>
      </c>
      <c r="G39" s="669">
        <f>ROUND(G36/G38,0)</f>
        <v>50</v>
      </c>
      <c r="H39" s="509" t="str">
        <f>IF($H$38="sq-mi","HU/sq-mi","HU/sq-km")</f>
        <v>HU/sq-mi</v>
      </c>
      <c r="I39" s="475"/>
      <c r="J39" s="475"/>
      <c r="K39" s="510"/>
    </row>
    <row r="40" spans="1:11" ht="15.75">
      <c r="A40" s="505"/>
      <c r="B40" s="506"/>
      <c r="C40" s="506"/>
      <c r="D40" s="506"/>
      <c r="E40" s="506"/>
      <c r="F40" s="507" t="s">
        <v>563</v>
      </c>
      <c r="G40" s="669">
        <f>ROUND(G37/G38,0)</f>
        <v>9</v>
      </c>
      <c r="H40" s="509" t="str">
        <f>IF($H$38="sq-mi","C&amp;I/sq-mi","C&amp;I/sq-km")</f>
        <v>C&amp;I/sq-mi</v>
      </c>
      <c r="I40" s="475"/>
      <c r="J40" s="475"/>
      <c r="K40" s="510"/>
    </row>
    <row r="41" spans="1:11" ht="15.75">
      <c r="A41" s="505"/>
      <c r="B41" s="506"/>
      <c r="C41" s="506"/>
      <c r="D41" s="506"/>
      <c r="E41" s="506"/>
      <c r="F41" s="507" t="s">
        <v>567</v>
      </c>
      <c r="G41" s="511" t="str">
        <f>IF(G39&lt;10,"Low Density Rural",IF(G39&lt;100,"Rural",IF(G39&lt;1000,"Suburban",IF(G39&lt;4000,"Urban","Dense Urban"))))</f>
        <v>Rural</v>
      </c>
      <c r="H41" s="509"/>
      <c r="I41" s="475"/>
      <c r="J41" s="475"/>
      <c r="K41" s="510"/>
    </row>
    <row r="42" spans="1:11" ht="18">
      <c r="A42" s="512"/>
      <c r="B42" s="492"/>
      <c r="C42" s="524"/>
      <c r="D42" s="492"/>
      <c r="E42" s="492"/>
      <c r="F42" s="476" t="str">
        <f>IF(G41="Urban","This entry not applicable for Urban Area",IF(G41="Dense Urban","This entry not applicable for Dense Urban Area","If Suburban, Rural, or Low Density Rural indicate terrain characteristics"))</f>
        <v>If Suburban, Rural, or Low Density Rural indicate terrain characteristics</v>
      </c>
      <c r="G42" s="869" t="s">
        <v>310</v>
      </c>
      <c r="H42" s="870"/>
      <c r="I42" s="871"/>
      <c r="J42" s="872"/>
      <c r="K42" s="873"/>
    </row>
    <row r="43" spans="1:11" ht="34.5" customHeight="1">
      <c r="A43" s="531"/>
      <c r="B43" s="532"/>
      <c r="C43" s="533"/>
      <c r="D43" s="532"/>
      <c r="E43" s="532"/>
      <c r="F43" s="534"/>
      <c r="G43" s="696" t="s">
        <v>601</v>
      </c>
      <c r="H43" s="867" t="s">
        <v>427</v>
      </c>
      <c r="I43" s="868"/>
      <c r="J43" s="867" t="s">
        <v>426</v>
      </c>
      <c r="K43" s="868"/>
    </row>
    <row r="44" spans="1:11" ht="15.75">
      <c r="A44" s="505"/>
      <c r="B44" s="506"/>
      <c r="C44" s="506"/>
      <c r="D44" s="506"/>
      <c r="E44" s="506"/>
      <c r="F44" s="507" t="s">
        <v>605</v>
      </c>
      <c r="G44" s="697">
        <f>ROUNDUP($G$36*IF($G$41="Dense Urban",B26,IF($G$41="Urban",B27,IF($G$41="Suburban",B28,IF($G$41="Rural",B29,B30)))),0)</f>
        <v>500</v>
      </c>
      <c r="H44" s="594">
        <v>5</v>
      </c>
      <c r="I44" s="518" t="s">
        <v>418</v>
      </c>
      <c r="J44" s="594">
        <v>5</v>
      </c>
      <c r="K44" s="518" t="s">
        <v>418</v>
      </c>
    </row>
    <row r="45" spans="1:11" ht="15.75">
      <c r="A45" s="505"/>
      <c r="B45" s="506"/>
      <c r="C45" s="506"/>
      <c r="D45" s="506"/>
      <c r="E45" s="506"/>
      <c r="F45" s="507" t="s">
        <v>606</v>
      </c>
      <c r="G45" s="698">
        <f>ROUNDUP($G$36*IF($G$41="Dense Urban",C26,IF($G$41="Urban",C27,IF($G$41="Suburban",C28,IF($G$41="Rural",C29,C30)))),0)</f>
        <v>250</v>
      </c>
      <c r="H45" s="594">
        <v>5</v>
      </c>
      <c r="I45" s="518" t="s">
        <v>418</v>
      </c>
      <c r="J45" s="594">
        <v>5</v>
      </c>
      <c r="K45" s="518" t="s">
        <v>418</v>
      </c>
    </row>
    <row r="46" spans="1:11" ht="15.75">
      <c r="A46" s="505"/>
      <c r="B46" s="506"/>
      <c r="C46" s="506"/>
      <c r="D46" s="506"/>
      <c r="E46" s="506"/>
      <c r="F46" s="507" t="s">
        <v>607</v>
      </c>
      <c r="G46" s="698">
        <f>ROUNDUP($G$36*IF($G$41="Dense Urban",D26,IF($G$41="Urban",D27,IF($G$41="Suburban",D28,IF($G$41="Rural",D29,D30)))),0)</f>
        <v>250</v>
      </c>
      <c r="H46" s="594">
        <v>5</v>
      </c>
      <c r="I46" s="518" t="s">
        <v>418</v>
      </c>
      <c r="J46" s="594">
        <v>5</v>
      </c>
      <c r="K46" s="518" t="s">
        <v>418</v>
      </c>
    </row>
    <row r="47" spans="1:11" ht="15.75">
      <c r="A47" s="505"/>
      <c r="B47" s="506"/>
      <c r="C47" s="506"/>
      <c r="D47" s="506"/>
      <c r="E47" s="506"/>
      <c r="F47" s="507" t="s">
        <v>608</v>
      </c>
      <c r="G47" s="698">
        <f>ROUNDUP($G$37*IF($G$41="Dense Urban",E26,IF($G$41="Urban",E27,IF($G$41="Suburban",E28,IF($G$41="Rural",E29,E30)))),0)</f>
        <v>88</v>
      </c>
      <c r="H47" s="519">
        <f>H44</f>
        <v>5</v>
      </c>
      <c r="I47" s="518" t="s">
        <v>418</v>
      </c>
      <c r="J47" s="519">
        <f>J44</f>
        <v>5</v>
      </c>
      <c r="K47" s="518" t="s">
        <v>418</v>
      </c>
    </row>
    <row r="48" spans="1:11" ht="15.75">
      <c r="A48" s="505"/>
      <c r="B48" s="506"/>
      <c r="C48" s="506"/>
      <c r="D48" s="506"/>
      <c r="E48" s="506"/>
      <c r="F48" s="507" t="s">
        <v>609</v>
      </c>
      <c r="G48" s="698">
        <f>ROUNDUP($G$37*IF($G$41="Dense Urban",F26,IF($G$41="Urban",F27,IF($G$41="Suburban",F28,IF($G$41="Rural",F29,F30)))),0)</f>
        <v>84</v>
      </c>
      <c r="H48" s="519">
        <f>H45</f>
        <v>5</v>
      </c>
      <c r="I48" s="518" t="s">
        <v>418</v>
      </c>
      <c r="J48" s="519">
        <f>J45</f>
        <v>5</v>
      </c>
      <c r="K48" s="518" t="s">
        <v>418</v>
      </c>
    </row>
    <row r="49" spans="1:13" ht="15.75">
      <c r="A49" s="505"/>
      <c r="B49" s="506"/>
      <c r="C49" s="506"/>
      <c r="D49" s="506"/>
      <c r="E49" s="506"/>
      <c r="F49" s="507" t="s">
        <v>610</v>
      </c>
      <c r="G49" s="698">
        <f>ROUNDUP($G$37*IF($G$41="Dense Urban",G26,IF($G$41="Urban",G27,IF($G$41="Suburban",G28,IF($G$41="Rural",G29,G30)))),0)</f>
        <v>88</v>
      </c>
      <c r="H49" s="519">
        <f>H46</f>
        <v>5</v>
      </c>
      <c r="I49" s="518" t="s">
        <v>418</v>
      </c>
      <c r="J49" s="519">
        <f>J46</f>
        <v>5</v>
      </c>
      <c r="K49" s="518" t="s">
        <v>418</v>
      </c>
    </row>
    <row r="50" spans="1:13" ht="15.75">
      <c r="A50" s="505"/>
      <c r="B50" s="506"/>
      <c r="C50" s="506"/>
      <c r="D50" s="506"/>
      <c r="E50" s="506"/>
      <c r="F50" s="469" t="s">
        <v>414</v>
      </c>
      <c r="G50" s="698">
        <f>IF($G$41="Dense Urban",H26,IF($G$41="Urban",H27,IF($G$41="Suburban",H28,IF($G$41="Rural",H29,H30))))</f>
        <v>2</v>
      </c>
      <c r="H50" s="595">
        <v>1</v>
      </c>
      <c r="I50" s="518" t="s">
        <v>418</v>
      </c>
      <c r="J50" s="595">
        <v>1</v>
      </c>
      <c r="K50" s="518" t="s">
        <v>418</v>
      </c>
    </row>
    <row r="51" spans="1:13" ht="15.75">
      <c r="A51" s="505"/>
      <c r="B51" s="506"/>
      <c r="C51" s="506"/>
      <c r="D51" s="506"/>
      <c r="E51" s="506"/>
      <c r="F51" s="469" t="s">
        <v>415</v>
      </c>
      <c r="G51" s="698">
        <f>IF($G$41="Dense Urban",I26,IF($G$41="Urban",I27,IF($G$41="Suburban",I28,IF($G$41="Rural",I29,I30))))</f>
        <v>4</v>
      </c>
      <c r="H51" s="595">
        <v>1</v>
      </c>
      <c r="I51" s="518" t="s">
        <v>418</v>
      </c>
      <c r="J51" s="595">
        <v>1</v>
      </c>
      <c r="K51" s="518" t="s">
        <v>418</v>
      </c>
    </row>
    <row r="52" spans="1:13" ht="15.75">
      <c r="A52" s="512"/>
      <c r="B52" s="506"/>
      <c r="C52" s="506"/>
      <c r="D52" s="506"/>
      <c r="E52" s="506"/>
      <c r="F52" s="469" t="s">
        <v>504</v>
      </c>
      <c r="G52" s="698">
        <f>IF($G$41="Dense Urban",J26,IF($G$41="Urban",J27,IF($G$41="Suburban",J28,IF($G$41="Rural",J29,J30))))</f>
        <v>20</v>
      </c>
      <c r="H52" s="594">
        <v>1</v>
      </c>
      <c r="I52" s="518" t="s">
        <v>418</v>
      </c>
      <c r="J52" s="594">
        <v>1</v>
      </c>
      <c r="K52" s="518" t="s">
        <v>418</v>
      </c>
    </row>
    <row r="53" spans="1:13" ht="15.75">
      <c r="A53" s="505"/>
      <c r="B53" s="500"/>
      <c r="C53" s="500"/>
      <c r="D53" s="500"/>
      <c r="E53" s="500"/>
      <c r="F53" s="612" t="s">
        <v>535</v>
      </c>
      <c r="G53" s="697"/>
      <c r="H53" s="859">
        <v>1</v>
      </c>
      <c r="I53" s="613"/>
      <c r="J53" s="859">
        <v>2</v>
      </c>
      <c r="K53" s="613"/>
    </row>
    <row r="54" spans="1:13" ht="15.75">
      <c r="A54" s="475"/>
      <c r="B54" s="506"/>
      <c r="C54" s="506"/>
      <c r="D54" s="506"/>
      <c r="E54" s="505"/>
      <c r="F54" s="469" t="s">
        <v>603</v>
      </c>
      <c r="G54" s="698"/>
      <c r="H54" s="594">
        <v>350</v>
      </c>
      <c r="I54" s="518" t="s">
        <v>509</v>
      </c>
      <c r="J54" s="594">
        <v>350</v>
      </c>
      <c r="K54" s="518" t="s">
        <v>509</v>
      </c>
    </row>
    <row r="55" spans="1:13" ht="15.75">
      <c r="A55" s="475"/>
      <c r="B55" s="506"/>
      <c r="C55" s="506"/>
      <c r="D55" s="506"/>
      <c r="E55" s="475"/>
      <c r="F55" s="469" t="s">
        <v>602</v>
      </c>
      <c r="G55" s="698"/>
      <c r="H55" s="594">
        <v>300</v>
      </c>
      <c r="I55" s="518" t="s">
        <v>628</v>
      </c>
      <c r="J55" s="594">
        <v>200</v>
      </c>
      <c r="K55" s="518" t="s">
        <v>628</v>
      </c>
    </row>
    <row r="56" spans="1:13" ht="15.75">
      <c r="A56" s="475"/>
      <c r="B56" s="506"/>
      <c r="C56" s="506"/>
      <c r="D56" s="506"/>
      <c r="E56" s="475"/>
      <c r="F56" s="469" t="s">
        <v>553</v>
      </c>
      <c r="G56" s="698"/>
      <c r="H56" s="860">
        <f>(1/H55)*60*60</f>
        <v>12</v>
      </c>
      <c r="I56" s="518"/>
      <c r="J56" s="860">
        <f>(1/J55)*60*60</f>
        <v>18</v>
      </c>
      <c r="K56" s="518"/>
    </row>
    <row r="57" spans="1:13" ht="15.75">
      <c r="A57" s="475"/>
      <c r="B57" s="506"/>
      <c r="C57" s="506"/>
      <c r="D57" s="506"/>
      <c r="E57" s="506"/>
      <c r="F57" s="469" t="s">
        <v>541</v>
      </c>
      <c r="G57" s="698"/>
      <c r="H57" s="667">
        <v>0.99950000000000006</v>
      </c>
      <c r="I57" s="518"/>
      <c r="J57" s="707">
        <f>H57</f>
        <v>0.99950000000000006</v>
      </c>
      <c r="K57" s="518"/>
    </row>
    <row r="58" spans="1:13" ht="15.75">
      <c r="B58" s="492"/>
      <c r="C58" s="492"/>
      <c r="D58" s="492"/>
      <c r="E58" s="492"/>
      <c r="F58" s="493" t="s">
        <v>552</v>
      </c>
      <c r="G58" s="699"/>
      <c r="H58" s="706">
        <f>IF(H53/H56&gt;1,1,H53/H56)</f>
        <v>8.3333333333333329E-2</v>
      </c>
      <c r="I58" s="520"/>
      <c r="J58" s="706">
        <f>IF(J53/J56&gt;1,1,J53/J56)</f>
        <v>0.1111111111111111</v>
      </c>
      <c r="K58" s="520"/>
    </row>
    <row r="59" spans="1:13" ht="15.75">
      <c r="A59" s="596"/>
      <c r="B59" s="492"/>
      <c r="C59" s="492"/>
      <c r="D59" s="492"/>
      <c r="E59" s="492"/>
      <c r="F59" s="493" t="s">
        <v>505</v>
      </c>
      <c r="G59" s="699">
        <f>SUM(G44:G51)+G52*G51</f>
        <v>1346</v>
      </c>
      <c r="H59" s="610"/>
      <c r="I59" s="611"/>
      <c r="J59" s="610"/>
      <c r="K59" s="520"/>
    </row>
    <row r="60" spans="1:13" ht="15.75">
      <c r="A60" s="505"/>
      <c r="B60" s="506"/>
      <c r="C60" s="506"/>
      <c r="D60" s="506"/>
      <c r="E60" s="506"/>
      <c r="F60" s="507" t="s">
        <v>421</v>
      </c>
      <c r="G60" s="700"/>
      <c r="H60" s="521">
        <f>$G$44*H44+$G$45*H45+$G$46*H46+$G$47*H47+$G$48*H48+$G$49*H49</f>
        <v>6300</v>
      </c>
      <c r="I60" s="518" t="s">
        <v>418</v>
      </c>
      <c r="J60" s="521">
        <f>$G$44*J44+$G$45*J45+$G$46*J46+$G$47*J47+$G$48*J48+$G$49*J49</f>
        <v>6300</v>
      </c>
      <c r="K60" s="518" t="s">
        <v>418</v>
      </c>
    </row>
    <row r="61" spans="1:13" ht="15.75">
      <c r="A61" s="505"/>
      <c r="B61" s="506"/>
      <c r="C61" s="513"/>
      <c r="D61" s="513"/>
      <c r="E61" s="513"/>
      <c r="F61" s="514" t="s">
        <v>412</v>
      </c>
      <c r="G61" s="700"/>
      <c r="H61" s="521">
        <f>$G$50*H50</f>
        <v>2</v>
      </c>
      <c r="I61" s="518" t="s">
        <v>418</v>
      </c>
      <c r="J61" s="521">
        <f>$G$50*J50</f>
        <v>2</v>
      </c>
      <c r="K61" s="518" t="s">
        <v>418</v>
      </c>
    </row>
    <row r="62" spans="1:13" ht="15.75">
      <c r="A62" s="505"/>
      <c r="B62" s="506"/>
      <c r="C62" s="513"/>
      <c r="D62" s="513"/>
      <c r="E62" s="513"/>
      <c r="F62" s="514" t="s">
        <v>411</v>
      </c>
      <c r="G62" s="700"/>
      <c r="H62" s="521">
        <f>$G$51*H51</f>
        <v>4</v>
      </c>
      <c r="I62" s="518" t="s">
        <v>418</v>
      </c>
      <c r="J62" s="521">
        <f>$G$51*J51</f>
        <v>4</v>
      </c>
      <c r="K62" s="518" t="s">
        <v>418</v>
      </c>
    </row>
    <row r="63" spans="1:13" ht="15.75">
      <c r="A63" s="505"/>
      <c r="B63" s="506"/>
      <c r="C63" s="513"/>
      <c r="D63" s="513"/>
      <c r="E63" s="515"/>
      <c r="F63" s="514" t="s">
        <v>410</v>
      </c>
      <c r="G63" s="700"/>
      <c r="H63" s="521">
        <f>$G$52*H52</f>
        <v>20</v>
      </c>
      <c r="I63" s="518" t="s">
        <v>418</v>
      </c>
      <c r="J63" s="521">
        <f>$G$52*J52</f>
        <v>20</v>
      </c>
      <c r="K63" s="518" t="s">
        <v>418</v>
      </c>
      <c r="M63" s="431"/>
    </row>
    <row r="64" spans="1:13" ht="15.75">
      <c r="A64" s="516"/>
      <c r="B64" s="492"/>
      <c r="C64" s="492"/>
      <c r="D64" s="492"/>
      <c r="E64" s="468"/>
      <c r="F64" s="476" t="s">
        <v>542</v>
      </c>
      <c r="G64" s="701"/>
      <c r="H64" s="522">
        <f>SUM(H60:H63)</f>
        <v>6326</v>
      </c>
      <c r="I64" s="520" t="s">
        <v>418</v>
      </c>
      <c r="J64" s="522">
        <f>SUM(J60:J63)</f>
        <v>6326</v>
      </c>
      <c r="K64" s="520" t="s">
        <v>418</v>
      </c>
    </row>
    <row r="65" spans="1:12" ht="15.75">
      <c r="A65" s="773"/>
      <c r="B65" s="774"/>
      <c r="C65" s="774"/>
      <c r="D65" s="774"/>
      <c r="E65" s="775"/>
      <c r="F65" s="776" t="s">
        <v>604</v>
      </c>
      <c r="G65" s="780">
        <v>0.1</v>
      </c>
      <c r="H65" s="777"/>
      <c r="I65" s="778"/>
      <c r="J65" s="777"/>
      <c r="K65" s="779"/>
    </row>
    <row r="66" spans="1:12">
      <c r="F66" s="475"/>
    </row>
    <row r="67" spans="1:12" ht="19.5" customHeight="1">
      <c r="C67" s="497" t="s">
        <v>489</v>
      </c>
      <c r="D67" s="494"/>
      <c r="E67" s="494"/>
      <c r="F67" s="495"/>
      <c r="G67" s="76"/>
      <c r="H67" s="711" t="s">
        <v>447</v>
      </c>
      <c r="I67" s="713" t="s">
        <v>428</v>
      </c>
      <c r="J67" s="711" t="s">
        <v>448</v>
      </c>
      <c r="K67" s="713" t="s">
        <v>428</v>
      </c>
      <c r="L67" s="515"/>
    </row>
    <row r="68" spans="1:12" ht="15.75">
      <c r="C68" s="653"/>
      <c r="D68" s="654"/>
      <c r="E68" s="654"/>
      <c r="F68" s="655" t="s">
        <v>320</v>
      </c>
      <c r="G68" s="654"/>
      <c r="H68" s="712">
        <f>G38</f>
        <v>10</v>
      </c>
      <c r="I68" s="714" t="str">
        <f>H38</f>
        <v>sq-mi</v>
      </c>
      <c r="J68" s="710">
        <f>G38</f>
        <v>10</v>
      </c>
      <c r="K68" s="714" t="str">
        <f>H38</f>
        <v>sq-mi</v>
      </c>
      <c r="L68" s="515"/>
    </row>
    <row r="69" spans="1:12" ht="31.5">
      <c r="C69" s="717"/>
      <c r="D69" s="718"/>
      <c r="E69" s="718"/>
      <c r="F69" s="719" t="s">
        <v>583</v>
      </c>
      <c r="G69" s="718"/>
      <c r="H69" s="720">
        <f>(H64/3600/$G$38)*(1+$G$65)</f>
        <v>0.19329444444444446</v>
      </c>
      <c r="I69" s="721" t="str">
        <f>IF(K68="sq-mi","MB/Sec/sq-mi","MB/Sec/sq-km")</f>
        <v>MB/Sec/sq-mi</v>
      </c>
      <c r="J69" s="720">
        <f>(J64/3600/$G$38)*(1+$G$65)</f>
        <v>0.19329444444444446</v>
      </c>
      <c r="K69" s="721" t="str">
        <f>IF(K68="sq-mi","MB/Sec/sq-mi","MB/Sec/sq-km")</f>
        <v>MB/Sec/sq-mi</v>
      </c>
      <c r="L69" s="515"/>
    </row>
    <row r="70" spans="1:12" ht="15.75">
      <c r="C70" s="656"/>
      <c r="D70" s="657"/>
      <c r="E70" s="657"/>
      <c r="F70" s="658" t="s">
        <v>419</v>
      </c>
      <c r="G70" s="657"/>
      <c r="H70" s="660" t="str">
        <f>IF(AND($G$41="Low Density Rural",$H$71="Type C"),"Rural Open",IF(AND($G$41="Rural",$H$71="Type C"),"Rural Open",IF($G$41="Dense Urban","Large City Urban",IF($G$41="Urban","Small City Urban",IF($G$41="Suburban","Suburban","Rural")))))</f>
        <v>Rural</v>
      </c>
      <c r="I70" s="715"/>
      <c r="J70" s="659" t="str">
        <f>H70</f>
        <v>Rural</v>
      </c>
      <c r="K70" s="715"/>
      <c r="L70" s="515"/>
    </row>
    <row r="71" spans="1:12" ht="15.75">
      <c r="C71" s="661"/>
      <c r="D71" s="662"/>
      <c r="E71" s="662"/>
      <c r="F71" s="663" t="s">
        <v>420</v>
      </c>
      <c r="G71" s="662"/>
      <c r="H71" s="664" t="str">
        <f>IF(G41="Dense Urban","n/a",IF(G41="Urban","Type A",IF(G42=F74,"Type A",IF(G42=F75,"Type B",IF(G42=F76,"Type C",IF(G42="Urban","n/a"))))))</f>
        <v>Type B</v>
      </c>
      <c r="I71" s="716"/>
      <c r="J71" s="665" t="str">
        <f>H71</f>
        <v>Type B</v>
      </c>
      <c r="K71" s="716"/>
      <c r="L71" s="515"/>
    </row>
    <row r="72" spans="1:12" ht="15">
      <c r="F72" s="431"/>
      <c r="G72" s="431"/>
    </row>
    <row r="73" spans="1:12" ht="15">
      <c r="F73" s="431"/>
      <c r="G73" s="431"/>
    </row>
    <row r="74" spans="1:12" ht="15">
      <c r="D74" s="477"/>
      <c r="E74" s="477"/>
      <c r="F74" s="478" t="s">
        <v>309</v>
      </c>
      <c r="G74" s="479" t="s">
        <v>356</v>
      </c>
    </row>
    <row r="75" spans="1:12" ht="15">
      <c r="D75" s="477"/>
      <c r="E75" s="477"/>
      <c r="F75" s="478" t="s">
        <v>310</v>
      </c>
      <c r="G75" s="479" t="s">
        <v>357</v>
      </c>
    </row>
    <row r="76" spans="1:12" ht="15">
      <c r="D76" s="477"/>
      <c r="E76" s="477"/>
      <c r="F76" s="478" t="s">
        <v>311</v>
      </c>
      <c r="G76" s="479" t="s">
        <v>358</v>
      </c>
    </row>
    <row r="77" spans="1:12" ht="15">
      <c r="F77" s="474"/>
      <c r="G77" s="428"/>
    </row>
  </sheetData>
  <sheetProtection selectLockedCells="1" selectUnlockedCells="1"/>
  <mergeCells count="5">
    <mergeCell ref="D2:I2"/>
    <mergeCell ref="B19:C19"/>
    <mergeCell ref="H43:I43"/>
    <mergeCell ref="J43:K43"/>
    <mergeCell ref="G42:K42"/>
  </mergeCells>
  <dataValidations xWindow="857" yWindow="370" count="4">
    <dataValidation type="list" allowBlank="1" showInputMessage="1" showErrorMessage="1" prompt="Modeling tool is currently not valid for areas with more extreme terrain or foiliage characteristics than indicated here." sqref="G42:I42">
      <formula1>$F$74:$F$77</formula1>
    </dataValidation>
    <dataValidation type="list" allowBlank="1" showInputMessage="1" showErrorMessage="1" sqref="H38">
      <formula1>"sq-mi,sq-km"</formula1>
    </dataValidation>
    <dataValidation type="whole" operator="greaterThanOrEqual" allowBlank="1" showInputMessage="1" showErrorMessage="1" sqref="G36">
      <formula1>1</formula1>
    </dataValidation>
    <dataValidation type="list" allowBlank="1" showInputMessage="1" showErrorMessage="1" sqref="G65">
      <formula1>"0,.05,.1,.15,.20,.25"</formula1>
    </dataValidation>
  </dataValidations>
  <pageMargins left="0.5" right="0.5" top="0.5" bottom="0.75" header="0.51180555555555551" footer="0.51180555555555551"/>
  <pageSetup scale="58" firstPageNumber="0" orientation="landscape" r:id="rId1"/>
  <headerFooter alignWithMargins="0">
    <oddFooter>&amp;L&amp;F&amp;C&amp;A&amp;R&amp;P</oddFooter>
  </headerFooter>
  <drawing r:id="rId2"/>
</worksheet>
</file>

<file path=xl/worksheets/sheet3.xml><?xml version="1.0" encoding="utf-8"?>
<worksheet xmlns="http://schemas.openxmlformats.org/spreadsheetml/2006/main" xmlns:r="http://schemas.openxmlformats.org/officeDocument/2006/relationships">
  <dimension ref="A1:AI70"/>
  <sheetViews>
    <sheetView tabSelected="1" zoomScaleNormal="100" workbookViewId="0">
      <selection activeCell="H20" sqref="H20"/>
    </sheetView>
  </sheetViews>
  <sheetFormatPr defaultRowHeight="15"/>
  <cols>
    <col min="1" max="1" width="45.7109375" customWidth="1"/>
    <col min="2" max="10" width="12.7109375" customWidth="1"/>
    <col min="11" max="11" width="45.7109375" customWidth="1"/>
    <col min="12" max="20" width="12.7109375" customWidth="1"/>
    <col min="21" max="21" width="11.7109375" customWidth="1"/>
    <col min="22" max="22" width="14.7109375" customWidth="1"/>
    <col min="24" max="24" width="11.42578125" customWidth="1"/>
    <col min="25" max="25" width="14.85546875" customWidth="1"/>
    <col min="26" max="26" width="14.7109375" customWidth="1"/>
    <col min="27" max="27" width="9.140625" customWidth="1"/>
    <col min="28" max="28" width="11.42578125" customWidth="1"/>
    <col min="29" max="29" width="14.7109375" customWidth="1"/>
    <col min="31" max="31" width="11" customWidth="1"/>
    <col min="32" max="32" width="14.7109375" customWidth="1"/>
    <col min="33" max="34" width="10" customWidth="1"/>
  </cols>
  <sheetData>
    <row r="1" spans="1:30" ht="19.5" thickBot="1">
      <c r="A1" s="194" t="s">
        <v>168</v>
      </c>
      <c r="J1" s="6"/>
    </row>
    <row r="2" spans="1:30" ht="18.75">
      <c r="A2" s="88" t="s">
        <v>332</v>
      </c>
      <c r="B2" s="427" t="s">
        <v>271</v>
      </c>
      <c r="C2" s="81"/>
      <c r="D2" s="81"/>
      <c r="E2" s="81"/>
      <c r="F2" s="81"/>
      <c r="G2" s="81"/>
      <c r="H2" s="81"/>
      <c r="I2" s="81"/>
      <c r="J2" s="74"/>
      <c r="K2" s="81"/>
      <c r="L2" s="81"/>
      <c r="M2" s="81"/>
      <c r="N2" s="81"/>
      <c r="O2" s="81"/>
      <c r="P2" s="81"/>
      <c r="Q2" s="81"/>
      <c r="R2" s="81"/>
      <c r="S2" s="81"/>
      <c r="T2" s="74"/>
      <c r="V2" s="635" t="s">
        <v>614</v>
      </c>
      <c r="W2" s="800"/>
      <c r="X2" s="800"/>
      <c r="Y2" s="801"/>
      <c r="Z2" s="635" t="s">
        <v>615</v>
      </c>
      <c r="AA2" s="638"/>
      <c r="AB2" s="638"/>
      <c r="AC2" s="801"/>
    </row>
    <row r="3" spans="1:30" ht="30.75" customHeight="1">
      <c r="A3" s="874" t="s">
        <v>334</v>
      </c>
      <c r="B3" s="875"/>
      <c r="C3" s="875"/>
      <c r="D3" s="875"/>
      <c r="E3" s="875"/>
      <c r="F3" s="875"/>
      <c r="G3" s="875"/>
      <c r="H3" s="875"/>
      <c r="I3" s="875"/>
      <c r="J3" s="876"/>
      <c r="K3" s="318"/>
      <c r="L3" s="318"/>
      <c r="M3" s="318"/>
      <c r="N3" s="318"/>
      <c r="O3" s="318"/>
      <c r="P3" s="318"/>
      <c r="Q3" s="318"/>
      <c r="R3" s="318"/>
      <c r="S3" s="318"/>
      <c r="T3" s="319"/>
      <c r="V3" s="548" t="s">
        <v>620</v>
      </c>
      <c r="W3" s="260" t="s">
        <v>151</v>
      </c>
      <c r="X3" s="260" t="s">
        <v>625</v>
      </c>
      <c r="Y3" s="802" t="s">
        <v>623</v>
      </c>
      <c r="Z3" s="548" t="s">
        <v>621</v>
      </c>
      <c r="AA3" s="260" t="s">
        <v>151</v>
      </c>
      <c r="AB3" s="260" t="s">
        <v>625</v>
      </c>
      <c r="AC3" s="802" t="s">
        <v>624</v>
      </c>
    </row>
    <row r="4" spans="1:30" ht="15.75">
      <c r="A4" s="877" t="s">
        <v>561</v>
      </c>
      <c r="B4" s="878"/>
      <c r="C4" s="878"/>
      <c r="D4" s="878"/>
      <c r="E4" s="878"/>
      <c r="F4" s="878"/>
      <c r="G4" s="878"/>
      <c r="H4" s="878"/>
      <c r="I4" s="878"/>
      <c r="J4" s="879"/>
      <c r="K4" s="789"/>
      <c r="L4" s="790"/>
      <c r="M4" s="318"/>
      <c r="N4" s="318"/>
      <c r="O4" s="318"/>
      <c r="P4" s="318"/>
      <c r="Q4" s="318"/>
      <c r="R4" s="318"/>
      <c r="S4" s="318"/>
      <c r="T4" s="319"/>
      <c r="V4" s="803" t="s">
        <v>182</v>
      </c>
      <c r="W4" s="792"/>
      <c r="X4" s="791" t="s">
        <v>182</v>
      </c>
      <c r="Y4" s="812"/>
      <c r="Z4" s="803" t="s">
        <v>182</v>
      </c>
      <c r="AA4" s="792"/>
      <c r="AB4" s="791" t="s">
        <v>182</v>
      </c>
      <c r="AC4" s="812"/>
    </row>
    <row r="5" spans="1:30" ht="18">
      <c r="A5" s="402" t="s">
        <v>135</v>
      </c>
      <c r="B5" s="81"/>
      <c r="C5" s="81"/>
      <c r="D5" s="81"/>
      <c r="E5" s="81"/>
      <c r="F5" s="81"/>
      <c r="G5" s="81"/>
      <c r="H5" s="81"/>
      <c r="I5" s="81"/>
      <c r="J5" s="74"/>
      <c r="K5" s="136"/>
      <c r="L5" s="136"/>
      <c r="M5" s="136"/>
      <c r="N5" s="136"/>
      <c r="O5" s="136"/>
      <c r="P5" s="136"/>
      <c r="Q5" s="136"/>
      <c r="R5" s="136"/>
      <c r="S5" s="136"/>
      <c r="T5" s="9"/>
      <c r="V5" s="803" t="s">
        <v>182</v>
      </c>
      <c r="W5" s="792"/>
      <c r="X5" s="791" t="s">
        <v>182</v>
      </c>
      <c r="Y5" s="812"/>
      <c r="Z5" s="803" t="s">
        <v>182</v>
      </c>
      <c r="AA5" s="792"/>
      <c r="AB5" s="791" t="s">
        <v>182</v>
      </c>
      <c r="AC5" s="812"/>
    </row>
    <row r="6" spans="1:30">
      <c r="A6" s="540"/>
      <c r="B6" s="581"/>
      <c r="C6" s="116"/>
      <c r="D6" s="116"/>
      <c r="E6" s="116"/>
      <c r="F6" s="116"/>
      <c r="G6" s="116"/>
      <c r="H6" s="116"/>
      <c r="I6" s="136"/>
      <c r="J6" s="356"/>
      <c r="K6" s="136"/>
      <c r="L6" s="136"/>
      <c r="M6" s="136"/>
      <c r="N6" s="136"/>
      <c r="O6" s="136"/>
      <c r="P6" s="136"/>
      <c r="Q6" s="136"/>
      <c r="R6" s="136"/>
      <c r="S6" s="136"/>
      <c r="T6" s="9"/>
      <c r="V6" s="803" t="s">
        <v>182</v>
      </c>
      <c r="W6" s="792"/>
      <c r="X6" s="791" t="s">
        <v>182</v>
      </c>
      <c r="Y6" s="812"/>
      <c r="Z6" s="803" t="s">
        <v>182</v>
      </c>
      <c r="AA6" s="792"/>
      <c r="AB6" s="791" t="s">
        <v>182</v>
      </c>
      <c r="AC6" s="812"/>
    </row>
    <row r="7" spans="1:30">
      <c r="A7" s="952" t="s">
        <v>442</v>
      </c>
      <c r="B7" s="953" t="s">
        <v>630</v>
      </c>
      <c r="C7" s="924"/>
      <c r="D7" s="954" t="str">
        <f>IF($B$7="TDD","Entry n/a","FDD DL Chan BW =")</f>
        <v>Entry n/a</v>
      </c>
      <c r="E7" s="955">
        <v>20</v>
      </c>
      <c r="F7" s="924"/>
      <c r="G7" s="954" t="str">
        <f>IF($B$7="TDD","Entry n/a","FDD UL Chan BW =")</f>
        <v>Entry n/a</v>
      </c>
      <c r="H7" s="955">
        <v>20</v>
      </c>
      <c r="I7" s="136"/>
      <c r="J7" s="356"/>
      <c r="K7" s="136"/>
      <c r="L7" s="136"/>
      <c r="M7" s="136"/>
      <c r="N7" s="136"/>
      <c r="O7" s="136"/>
      <c r="P7" s="136"/>
      <c r="Q7" s="136"/>
      <c r="R7" s="136"/>
      <c r="S7" s="136"/>
      <c r="T7" s="9"/>
      <c r="V7" s="803" t="s">
        <v>182</v>
      </c>
      <c r="W7" s="792"/>
      <c r="X7" s="791" t="s">
        <v>182</v>
      </c>
      <c r="Y7" s="813"/>
      <c r="Z7" s="803" t="s">
        <v>182</v>
      </c>
      <c r="AA7" s="792"/>
      <c r="AB7" s="791" t="s">
        <v>182</v>
      </c>
      <c r="AC7" s="813"/>
    </row>
    <row r="8" spans="1:30">
      <c r="A8" s="952" t="str">
        <f>IF(B7="TDD","If TDD, is Adaptive TDD supported?","Entry n/a")</f>
        <v>If TDD, is Adaptive TDD supported?</v>
      </c>
      <c r="B8" s="953" t="s">
        <v>572</v>
      </c>
      <c r="C8" s="924"/>
      <c r="D8" s="925" t="str">
        <f>IF($B$7="TDD","TDD Chan BW in MHz =","Entry n/a")</f>
        <v>TDD Chan BW in MHz =</v>
      </c>
      <c r="E8" s="955">
        <v>20</v>
      </c>
      <c r="F8" s="956"/>
      <c r="G8" s="956"/>
      <c r="H8" s="957"/>
      <c r="I8" s="136"/>
      <c r="J8" s="356"/>
      <c r="K8" s="136"/>
      <c r="L8" s="136"/>
      <c r="M8" s="136"/>
      <c r="N8" s="136"/>
      <c r="O8" s="136"/>
      <c r="P8" s="136"/>
      <c r="Q8" s="136"/>
      <c r="R8" s="136"/>
      <c r="S8" s="136"/>
      <c r="T8" s="9"/>
      <c r="V8" s="803" t="s">
        <v>616</v>
      </c>
      <c r="W8" s="792">
        <v>0.5</v>
      </c>
      <c r="X8" s="791">
        <v>6</v>
      </c>
      <c r="Y8" s="813">
        <f>-4.3</f>
        <v>-4.3</v>
      </c>
      <c r="Z8" s="803" t="s">
        <v>616</v>
      </c>
      <c r="AA8" s="792">
        <v>0.5</v>
      </c>
      <c r="AB8" s="791">
        <v>6</v>
      </c>
      <c r="AC8" s="813">
        <f>-4.3</f>
        <v>-4.3</v>
      </c>
    </row>
    <row r="9" spans="1:30">
      <c r="A9" s="952" t="str">
        <f>IF(AND($B$8="Yes",$B$7="TDD"),"Input Maximum DL to UL Ratio Supported","Entry n/a")</f>
        <v>Input Maximum DL to UL Ratio Supported</v>
      </c>
      <c r="B9" s="958">
        <v>1</v>
      </c>
      <c r="C9" s="924"/>
      <c r="D9" s="959" t="str">
        <f>IF($B$7="TDD","Effective DL Chan BW =","")</f>
        <v>Effective DL Chan BW =</v>
      </c>
      <c r="E9" s="960">
        <f>IF(B7="TDD",$E$8-$H$9,"")</f>
        <v>10</v>
      </c>
      <c r="F9" s="956"/>
      <c r="G9" s="952" t="str">
        <f>IF($B$7="TDD","Effective UL Chan BW =","")</f>
        <v>Effective UL Chan BW =</v>
      </c>
      <c r="H9" s="961">
        <f>IF($B$7="FDD","",IF($B$7="HD-FDD","",IF($B$8="Yes",$E$8/(1+$B$9),$E$8/2)))</f>
        <v>10</v>
      </c>
      <c r="J9" s="356"/>
      <c r="K9" s="136"/>
      <c r="L9" s="136"/>
      <c r="M9" s="136"/>
      <c r="N9" s="136"/>
      <c r="O9" s="136"/>
      <c r="P9" s="136"/>
      <c r="Q9" s="136"/>
      <c r="R9" s="136"/>
      <c r="S9" s="136"/>
      <c r="T9" s="9"/>
      <c r="V9" s="803" t="s">
        <v>616</v>
      </c>
      <c r="W9" s="792">
        <v>0.5</v>
      </c>
      <c r="X9" s="791">
        <v>4</v>
      </c>
      <c r="Y9" s="813">
        <v>-2.5</v>
      </c>
      <c r="Z9" s="803" t="s">
        <v>616</v>
      </c>
      <c r="AA9" s="792">
        <v>0.5</v>
      </c>
      <c r="AB9" s="791">
        <v>4</v>
      </c>
      <c r="AC9" s="813">
        <v>-2.5</v>
      </c>
    </row>
    <row r="10" spans="1:30">
      <c r="A10" s="962" t="str">
        <f>IF(AND($B$8="Yes",$B$7="TDD"),"Input Maximum UL to DL Ratio Supported","Entry n/a")</f>
        <v>Input Maximum UL to DL Ratio Supported</v>
      </c>
      <c r="B10" s="963">
        <v>1</v>
      </c>
      <c r="C10" s="964"/>
      <c r="D10" s="962" t="str">
        <f>IF($B$7="TDD","Effective DL Chan BW =","")</f>
        <v>Effective DL Chan BW =</v>
      </c>
      <c r="E10" s="965">
        <f>IF($B$7="FDD","",IF($B$7="HD-FDD","",IF($B$8="Yes",$E$8/(1+$B$10),$E$8/2)))</f>
        <v>10</v>
      </c>
      <c r="F10" s="964"/>
      <c r="G10" s="966" t="str">
        <f>IF($B$7="TDD","Effective UL Chan BW =","")</f>
        <v>Effective UL Chan BW =</v>
      </c>
      <c r="H10" s="967">
        <f>IF($B$7="TDD",$E$8-$E$10,"")</f>
        <v>10</v>
      </c>
      <c r="I10" s="21"/>
      <c r="J10" s="541"/>
      <c r="K10" s="136"/>
      <c r="L10" s="136"/>
      <c r="M10" s="136"/>
      <c r="N10" s="136"/>
      <c r="O10" s="136"/>
      <c r="P10" s="136"/>
      <c r="Q10" s="136"/>
      <c r="R10" s="136"/>
      <c r="S10" s="136"/>
      <c r="T10" s="9"/>
      <c r="V10" s="803" t="s">
        <v>616</v>
      </c>
      <c r="W10" s="792">
        <v>0.5</v>
      </c>
      <c r="X10" s="791">
        <v>2</v>
      </c>
      <c r="Y10" s="813">
        <v>0.5</v>
      </c>
      <c r="Z10" s="803" t="s">
        <v>616</v>
      </c>
      <c r="AA10" s="792">
        <v>0.5</v>
      </c>
      <c r="AB10" s="791">
        <v>2</v>
      </c>
      <c r="AC10" s="813">
        <v>0.5</v>
      </c>
    </row>
    <row r="11" spans="1:30">
      <c r="A11" s="137" t="s">
        <v>199</v>
      </c>
      <c r="B11" s="544"/>
      <c r="C11" s="922">
        <v>2450</v>
      </c>
      <c r="D11" s="863">
        <f t="shared" ref="D11:D16" si="0">C11</f>
        <v>2450</v>
      </c>
      <c r="E11" s="863">
        <f t="shared" ref="E11:J18" si="1">D11</f>
        <v>2450</v>
      </c>
      <c r="F11" s="863">
        <f t="shared" si="1"/>
        <v>2450</v>
      </c>
      <c r="G11" s="863">
        <f t="shared" si="1"/>
        <v>2450</v>
      </c>
      <c r="H11" s="863">
        <f t="shared" si="1"/>
        <v>2450</v>
      </c>
      <c r="I11" s="863">
        <f t="shared" si="1"/>
        <v>2450</v>
      </c>
      <c r="J11" s="864">
        <f t="shared" si="1"/>
        <v>2450</v>
      </c>
      <c r="K11" s="138"/>
      <c r="L11" s="138"/>
      <c r="M11" s="138"/>
      <c r="T11" s="9"/>
      <c r="V11" s="803" t="s">
        <v>616</v>
      </c>
      <c r="W11" s="792">
        <v>0.5</v>
      </c>
      <c r="X11" s="791">
        <v>1</v>
      </c>
      <c r="Y11" s="813">
        <v>3.5</v>
      </c>
      <c r="Z11" s="803" t="s">
        <v>616</v>
      </c>
      <c r="AA11" s="792">
        <v>0.5</v>
      </c>
      <c r="AB11" s="791">
        <v>1</v>
      </c>
      <c r="AC11" s="813">
        <v>3.5</v>
      </c>
    </row>
    <row r="12" spans="1:30">
      <c r="A12" s="137" t="s">
        <v>183</v>
      </c>
      <c r="C12" s="815">
        <v>5</v>
      </c>
      <c r="D12" s="816">
        <f t="shared" si="0"/>
        <v>5</v>
      </c>
      <c r="E12" s="816">
        <f t="shared" si="1"/>
        <v>5</v>
      </c>
      <c r="F12" s="816">
        <f t="shared" si="1"/>
        <v>5</v>
      </c>
      <c r="G12" s="816">
        <f t="shared" si="1"/>
        <v>5</v>
      </c>
      <c r="H12" s="816">
        <f t="shared" si="1"/>
        <v>5</v>
      </c>
      <c r="I12" s="816">
        <f t="shared" si="1"/>
        <v>5</v>
      </c>
      <c r="J12" s="817">
        <f t="shared" si="1"/>
        <v>5</v>
      </c>
      <c r="K12" s="138"/>
      <c r="L12" s="138"/>
      <c r="M12" s="138"/>
      <c r="T12" s="9"/>
      <c r="V12" s="803" t="s">
        <v>616</v>
      </c>
      <c r="W12" s="792">
        <v>0.75</v>
      </c>
      <c r="X12" s="791">
        <v>1</v>
      </c>
      <c r="Y12" s="813">
        <v>6.8</v>
      </c>
      <c r="Z12" s="803" t="s">
        <v>616</v>
      </c>
      <c r="AA12" s="792">
        <v>0.75</v>
      </c>
      <c r="AB12" s="791">
        <v>1</v>
      </c>
      <c r="AC12" s="813">
        <v>6.8</v>
      </c>
    </row>
    <row r="13" spans="1:30">
      <c r="A13" s="116" t="s">
        <v>131</v>
      </c>
      <c r="C13" s="846">
        <v>1</v>
      </c>
      <c r="D13" s="847">
        <f t="shared" si="0"/>
        <v>1</v>
      </c>
      <c r="E13" s="847">
        <f t="shared" si="1"/>
        <v>1</v>
      </c>
      <c r="F13" s="847">
        <f t="shared" si="1"/>
        <v>1</v>
      </c>
      <c r="G13" s="847">
        <f t="shared" si="1"/>
        <v>1</v>
      </c>
      <c r="H13" s="847">
        <f t="shared" si="1"/>
        <v>1</v>
      </c>
      <c r="I13" s="847">
        <f t="shared" si="1"/>
        <v>1</v>
      </c>
      <c r="J13" s="848">
        <f t="shared" si="1"/>
        <v>1</v>
      </c>
      <c r="K13" s="138"/>
      <c r="L13" s="138"/>
      <c r="M13" s="138"/>
      <c r="T13" s="9"/>
      <c r="V13" s="803" t="s">
        <v>618</v>
      </c>
      <c r="W13" s="792">
        <v>0.5</v>
      </c>
      <c r="X13" s="791">
        <v>1</v>
      </c>
      <c r="Y13" s="813">
        <v>8.9</v>
      </c>
      <c r="Z13" s="803" t="s">
        <v>618</v>
      </c>
      <c r="AA13" s="792">
        <v>0.5</v>
      </c>
      <c r="AB13" s="791">
        <v>1</v>
      </c>
      <c r="AC13" s="813">
        <v>8.9</v>
      </c>
    </row>
    <row r="14" spans="1:30" s="929" customFormat="1">
      <c r="A14" s="924" t="s">
        <v>184</v>
      </c>
      <c r="B14" s="925"/>
      <c r="C14" s="923">
        <v>1</v>
      </c>
      <c r="D14" s="926">
        <f t="shared" si="0"/>
        <v>1</v>
      </c>
      <c r="E14" s="926">
        <f t="shared" si="1"/>
        <v>1</v>
      </c>
      <c r="F14" s="926">
        <f t="shared" si="1"/>
        <v>1</v>
      </c>
      <c r="G14" s="926">
        <f t="shared" si="1"/>
        <v>1</v>
      </c>
      <c r="H14" s="926">
        <f t="shared" si="1"/>
        <v>1</v>
      </c>
      <c r="I14" s="926">
        <f t="shared" si="1"/>
        <v>1</v>
      </c>
      <c r="J14" s="927">
        <f t="shared" si="1"/>
        <v>1</v>
      </c>
      <c r="K14" s="928"/>
      <c r="L14" s="928"/>
      <c r="M14" s="928"/>
      <c r="T14" s="930"/>
      <c r="V14" s="931" t="s">
        <v>618</v>
      </c>
      <c r="W14" s="932">
        <v>0.75</v>
      </c>
      <c r="X14" s="933">
        <v>1</v>
      </c>
      <c r="Y14" s="934">
        <v>13</v>
      </c>
      <c r="Z14" s="931" t="s">
        <v>618</v>
      </c>
      <c r="AA14" s="932">
        <v>0.75</v>
      </c>
      <c r="AB14" s="933">
        <v>1</v>
      </c>
      <c r="AC14" s="934">
        <v>13</v>
      </c>
    </row>
    <row r="15" spans="1:30" s="929" customFormat="1">
      <c r="A15" s="924" t="s">
        <v>185</v>
      </c>
      <c r="B15" s="935"/>
      <c r="C15" s="923">
        <v>1</v>
      </c>
      <c r="D15" s="926">
        <f t="shared" si="0"/>
        <v>1</v>
      </c>
      <c r="E15" s="926">
        <f t="shared" si="1"/>
        <v>1</v>
      </c>
      <c r="F15" s="926">
        <f t="shared" si="1"/>
        <v>1</v>
      </c>
      <c r="G15" s="926">
        <f t="shared" si="1"/>
        <v>1</v>
      </c>
      <c r="H15" s="926">
        <f t="shared" si="1"/>
        <v>1</v>
      </c>
      <c r="I15" s="926">
        <f t="shared" si="1"/>
        <v>1</v>
      </c>
      <c r="J15" s="927">
        <f t="shared" si="1"/>
        <v>1</v>
      </c>
      <c r="K15" s="928"/>
      <c r="L15" s="928"/>
      <c r="M15" s="928"/>
      <c r="T15" s="930"/>
      <c r="V15" s="931" t="s">
        <v>617</v>
      </c>
      <c r="W15" s="932">
        <v>0.5</v>
      </c>
      <c r="X15" s="933">
        <v>1</v>
      </c>
      <c r="Y15" s="934">
        <v>13.9</v>
      </c>
      <c r="Z15" s="931" t="s">
        <v>617</v>
      </c>
      <c r="AA15" s="932">
        <v>0.5</v>
      </c>
      <c r="AB15" s="933">
        <v>1</v>
      </c>
      <c r="AC15" s="934">
        <v>13.9</v>
      </c>
      <c r="AD15" s="936"/>
    </row>
    <row r="16" spans="1:30">
      <c r="A16" s="139" t="s">
        <v>186</v>
      </c>
      <c r="C16" s="820">
        <v>4</v>
      </c>
      <c r="D16" s="821">
        <f t="shared" si="0"/>
        <v>4</v>
      </c>
      <c r="E16" s="821">
        <f t="shared" si="1"/>
        <v>4</v>
      </c>
      <c r="F16" s="821">
        <f t="shared" si="1"/>
        <v>4</v>
      </c>
      <c r="G16" s="821">
        <f t="shared" si="1"/>
        <v>4</v>
      </c>
      <c r="H16" s="821">
        <f t="shared" si="1"/>
        <v>4</v>
      </c>
      <c r="I16" s="821">
        <f t="shared" si="1"/>
        <v>4</v>
      </c>
      <c r="J16" s="822">
        <f t="shared" si="1"/>
        <v>4</v>
      </c>
      <c r="K16" s="138"/>
      <c r="L16" s="138"/>
      <c r="M16" s="138"/>
      <c r="T16" s="9"/>
      <c r="V16" s="803" t="s">
        <v>617</v>
      </c>
      <c r="W16" s="792">
        <v>0.66666666666666663</v>
      </c>
      <c r="X16" s="791">
        <v>1</v>
      </c>
      <c r="Y16" s="813">
        <v>17.3</v>
      </c>
      <c r="Z16" s="803" t="s">
        <v>617</v>
      </c>
      <c r="AA16" s="792">
        <v>0.66666666666666663</v>
      </c>
      <c r="AB16" s="791">
        <v>1</v>
      </c>
      <c r="AC16" s="813">
        <v>17.3</v>
      </c>
    </row>
    <row r="17" spans="1:35">
      <c r="A17" s="139" t="s">
        <v>573</v>
      </c>
      <c r="C17" s="426" t="s">
        <v>572</v>
      </c>
      <c r="D17" s="250" t="str">
        <f>C17</f>
        <v>Yes</v>
      </c>
      <c r="E17" s="250" t="str">
        <f t="shared" si="1"/>
        <v>Yes</v>
      </c>
      <c r="F17" s="250" t="str">
        <f t="shared" si="1"/>
        <v>Yes</v>
      </c>
      <c r="G17" s="250" t="str">
        <f t="shared" si="1"/>
        <v>Yes</v>
      </c>
      <c r="H17" s="250" t="str">
        <f t="shared" si="1"/>
        <v>Yes</v>
      </c>
      <c r="I17" s="250" t="str">
        <f t="shared" si="1"/>
        <v>Yes</v>
      </c>
      <c r="J17" s="346" t="str">
        <f t="shared" si="1"/>
        <v>Yes</v>
      </c>
      <c r="K17" s="138"/>
      <c r="L17" s="138"/>
      <c r="M17" s="138"/>
      <c r="T17" s="9"/>
      <c r="V17" s="803" t="s">
        <v>617</v>
      </c>
      <c r="W17" s="792">
        <v>0.75</v>
      </c>
      <c r="X17" s="791">
        <v>1</v>
      </c>
      <c r="Y17" s="813">
        <v>18.5</v>
      </c>
      <c r="Z17" s="803" t="s">
        <v>617</v>
      </c>
      <c r="AA17" s="792">
        <v>0.75</v>
      </c>
      <c r="AB17" s="791">
        <v>1</v>
      </c>
      <c r="AC17" s="813">
        <v>18.5</v>
      </c>
    </row>
    <row r="18" spans="1:35" ht="18" thickBot="1">
      <c r="A18" s="139" t="s">
        <v>574</v>
      </c>
      <c r="C18" s="426" t="s">
        <v>572</v>
      </c>
      <c r="D18" s="250" t="str">
        <f>C18</f>
        <v>Yes</v>
      </c>
      <c r="E18" s="250" t="str">
        <f t="shared" si="1"/>
        <v>Yes</v>
      </c>
      <c r="F18" s="250" t="str">
        <f t="shared" si="1"/>
        <v>Yes</v>
      </c>
      <c r="G18" s="250" t="str">
        <f t="shared" si="1"/>
        <v>Yes</v>
      </c>
      <c r="H18" s="250" t="str">
        <f t="shared" si="1"/>
        <v>Yes</v>
      </c>
      <c r="I18" s="250" t="str">
        <f t="shared" si="1"/>
        <v>Yes</v>
      </c>
      <c r="J18" s="346" t="str">
        <f t="shared" si="1"/>
        <v>Yes</v>
      </c>
      <c r="K18" s="138"/>
      <c r="L18" s="138"/>
      <c r="M18" s="138"/>
      <c r="T18" s="9"/>
      <c r="U18" s="361" t="s">
        <v>316</v>
      </c>
      <c r="V18" s="804" t="s">
        <v>617</v>
      </c>
      <c r="W18" s="805">
        <v>0.83333333333333337</v>
      </c>
      <c r="X18" s="806">
        <v>1</v>
      </c>
      <c r="Y18" s="814">
        <v>20.3</v>
      </c>
      <c r="Z18" s="804" t="s">
        <v>617</v>
      </c>
      <c r="AA18" s="805">
        <v>0.83333333333333337</v>
      </c>
      <c r="AB18" s="806">
        <v>1</v>
      </c>
      <c r="AC18" s="814">
        <v>20.3</v>
      </c>
    </row>
    <row r="19" spans="1:35" ht="75">
      <c r="A19" s="407" t="s">
        <v>299</v>
      </c>
      <c r="B19" s="60"/>
      <c r="C19" s="408" t="s">
        <v>335</v>
      </c>
      <c r="D19" s="408" t="s">
        <v>283</v>
      </c>
      <c r="E19" s="408" t="s">
        <v>282</v>
      </c>
      <c r="F19" s="408" t="s">
        <v>297</v>
      </c>
      <c r="G19" s="408" t="s">
        <v>284</v>
      </c>
      <c r="H19" s="408" t="s">
        <v>139</v>
      </c>
      <c r="I19" s="408" t="str">
        <f>A62</f>
        <v>Other "A"</v>
      </c>
      <c r="J19" s="409" t="str">
        <f>A63</f>
        <v>Other "B"</v>
      </c>
      <c r="K19" s="138"/>
      <c r="M19" s="408" t="str">
        <f t="shared" ref="M19:T19" si="2">C19</f>
        <v>Fixed Outdoor Pole or Bldg-Mounted Terminal</v>
      </c>
      <c r="N19" s="408" t="str">
        <f t="shared" si="2"/>
        <v>Fixed Indoor Self-Installed Terminal</v>
      </c>
      <c r="O19" s="408" t="str">
        <f t="shared" si="2"/>
        <v>Vehicular Installed Mobile Terminal</v>
      </c>
      <c r="P19" s="408" t="str">
        <f t="shared" si="2"/>
        <v>Feeder Line Device</v>
      </c>
      <c r="Q19" s="408" t="str">
        <f t="shared" si="2"/>
        <v>Wireless-Enabled Smart Meter</v>
      </c>
      <c r="R19" s="408" t="str">
        <f t="shared" si="2"/>
        <v>Mobile Handheld Device</v>
      </c>
      <c r="S19" s="408" t="str">
        <f t="shared" si="2"/>
        <v>Other "A"</v>
      </c>
      <c r="T19" s="409" t="str">
        <f t="shared" si="2"/>
        <v>Other "B"</v>
      </c>
      <c r="U19" s="139"/>
    </row>
    <row r="20" spans="1:35">
      <c r="A20" s="137" t="s">
        <v>189</v>
      </c>
      <c r="C20" s="815">
        <v>12</v>
      </c>
      <c r="D20" s="815">
        <v>5</v>
      </c>
      <c r="E20" s="815">
        <v>7</v>
      </c>
      <c r="F20" s="815">
        <v>5</v>
      </c>
      <c r="G20" s="815">
        <v>0</v>
      </c>
      <c r="H20" s="815">
        <v>-1</v>
      </c>
      <c r="I20" s="818">
        <f>B62</f>
        <v>2</v>
      </c>
      <c r="J20" s="819">
        <f>B63</f>
        <v>2</v>
      </c>
      <c r="K20" s="139"/>
      <c r="L20" s="139"/>
      <c r="M20" s="139"/>
      <c r="T20" s="9"/>
      <c r="U20" s="139"/>
    </row>
    <row r="21" spans="1:35">
      <c r="A21" s="116" t="s">
        <v>131</v>
      </c>
      <c r="C21" s="846">
        <v>5</v>
      </c>
      <c r="D21" s="846">
        <v>0.5</v>
      </c>
      <c r="E21" s="846">
        <v>0.2</v>
      </c>
      <c r="F21" s="846">
        <v>2</v>
      </c>
      <c r="G21" s="846">
        <v>0.5</v>
      </c>
      <c r="H21" s="846">
        <v>0.1</v>
      </c>
      <c r="I21" s="849">
        <f>C62</f>
        <v>1</v>
      </c>
      <c r="J21" s="850">
        <f>C63</f>
        <v>1</v>
      </c>
      <c r="K21" s="139"/>
      <c r="L21" s="139"/>
      <c r="M21" s="139"/>
      <c r="T21" s="9"/>
      <c r="U21" s="139"/>
    </row>
    <row r="22" spans="1:35" s="929" customFormat="1">
      <c r="A22" s="924" t="s">
        <v>187</v>
      </c>
      <c r="B22" s="925"/>
      <c r="C22" s="923">
        <v>1</v>
      </c>
      <c r="D22" s="923">
        <v>1</v>
      </c>
      <c r="E22" s="923">
        <v>1</v>
      </c>
      <c r="F22" s="923">
        <v>1</v>
      </c>
      <c r="G22" s="923">
        <v>1</v>
      </c>
      <c r="H22" s="923">
        <v>1</v>
      </c>
      <c r="I22" s="923">
        <v>1</v>
      </c>
      <c r="J22" s="937">
        <v>1</v>
      </c>
      <c r="K22" s="924"/>
      <c r="L22" s="924"/>
      <c r="M22" s="924"/>
      <c r="T22" s="930"/>
      <c r="U22" s="924"/>
    </row>
    <row r="23" spans="1:35" s="929" customFormat="1">
      <c r="A23" s="924" t="s">
        <v>188</v>
      </c>
      <c r="B23" s="935"/>
      <c r="C23" s="923">
        <v>1</v>
      </c>
      <c r="D23" s="923">
        <v>1</v>
      </c>
      <c r="E23" s="923">
        <v>1</v>
      </c>
      <c r="F23" s="923">
        <v>1</v>
      </c>
      <c r="G23" s="923">
        <v>1</v>
      </c>
      <c r="H23" s="923">
        <v>1</v>
      </c>
      <c r="I23" s="923">
        <v>1</v>
      </c>
      <c r="J23" s="937">
        <v>1</v>
      </c>
      <c r="K23" s="924"/>
      <c r="L23" s="924"/>
      <c r="M23" s="924"/>
      <c r="T23" s="930"/>
      <c r="U23" s="924"/>
    </row>
    <row r="24" spans="1:35" ht="15.75" thickBot="1">
      <c r="A24" s="139" t="s">
        <v>190</v>
      </c>
      <c r="C24" s="820">
        <v>5</v>
      </c>
      <c r="D24" s="820">
        <v>6</v>
      </c>
      <c r="E24" s="820">
        <v>6</v>
      </c>
      <c r="F24" s="820">
        <v>6</v>
      </c>
      <c r="G24" s="820">
        <v>5</v>
      </c>
      <c r="H24" s="820">
        <v>5</v>
      </c>
      <c r="I24" s="820">
        <v>5</v>
      </c>
      <c r="J24" s="823">
        <v>6</v>
      </c>
      <c r="K24" s="139"/>
      <c r="L24" s="139"/>
      <c r="M24" s="139"/>
      <c r="T24" s="9"/>
      <c r="U24" s="139"/>
    </row>
    <row r="25" spans="1:35" ht="29.25">
      <c r="A25" s="629" t="s">
        <v>523</v>
      </c>
      <c r="C25" s="630">
        <v>0.29299999999999998</v>
      </c>
      <c r="D25" s="631">
        <f>C25</f>
        <v>0.29299999999999998</v>
      </c>
      <c r="E25" s="631">
        <f t="shared" ref="E25:J25" si="3">D25</f>
        <v>0.29299999999999998</v>
      </c>
      <c r="F25" s="631">
        <f t="shared" si="3"/>
        <v>0.29299999999999998</v>
      </c>
      <c r="G25" s="631">
        <f t="shared" si="3"/>
        <v>0.29299999999999998</v>
      </c>
      <c r="H25" s="631">
        <f t="shared" si="3"/>
        <v>0.29299999999999998</v>
      </c>
      <c r="I25" s="631">
        <f t="shared" si="3"/>
        <v>0.29299999999999998</v>
      </c>
      <c r="J25" s="632">
        <f t="shared" si="3"/>
        <v>0.29299999999999998</v>
      </c>
      <c r="K25" s="629" t="s">
        <v>524</v>
      </c>
      <c r="L25" s="139"/>
      <c r="M25" s="630">
        <v>0.309</v>
      </c>
      <c r="N25" s="633">
        <f>M25</f>
        <v>0.309</v>
      </c>
      <c r="O25" s="633">
        <f t="shared" ref="O25:T25" si="4">N25</f>
        <v>0.309</v>
      </c>
      <c r="P25" s="633">
        <f t="shared" si="4"/>
        <v>0.309</v>
      </c>
      <c r="Q25" s="633">
        <f t="shared" si="4"/>
        <v>0.309</v>
      </c>
      <c r="R25" s="633">
        <f t="shared" si="4"/>
        <v>0.309</v>
      </c>
      <c r="S25" s="633">
        <f t="shared" si="4"/>
        <v>0.309</v>
      </c>
      <c r="T25" s="634">
        <f t="shared" si="4"/>
        <v>0.309</v>
      </c>
      <c r="U25" s="139"/>
      <c r="V25" s="635" t="s">
        <v>464</v>
      </c>
      <c r="W25" s="636"/>
      <c r="X25" s="636"/>
      <c r="Y25" s="636"/>
      <c r="Z25" s="636"/>
      <c r="AA25" s="636"/>
      <c r="AB25" s="637"/>
      <c r="AC25" s="635" t="s">
        <v>463</v>
      </c>
      <c r="AD25" s="638"/>
      <c r="AE25" s="638"/>
      <c r="AF25" s="638"/>
      <c r="AG25" s="638"/>
      <c r="AH25" s="638"/>
      <c r="AI25" s="639"/>
    </row>
    <row r="26" spans="1:35" ht="76.5" customHeight="1">
      <c r="A26" s="708" t="s">
        <v>559</v>
      </c>
      <c r="B26" s="154" t="s">
        <v>134</v>
      </c>
      <c r="C26" s="154" t="s">
        <v>132</v>
      </c>
      <c r="D26" s="154" t="s">
        <v>132</v>
      </c>
      <c r="E26" s="154" t="s">
        <v>132</v>
      </c>
      <c r="F26" s="154" t="s">
        <v>132</v>
      </c>
      <c r="G26" s="154" t="s">
        <v>132</v>
      </c>
      <c r="H26" s="154" t="s">
        <v>132</v>
      </c>
      <c r="I26" s="154" t="s">
        <v>132</v>
      </c>
      <c r="J26" s="347" t="s">
        <v>132</v>
      </c>
      <c r="K26" s="709" t="s">
        <v>560</v>
      </c>
      <c r="L26" s="154" t="s">
        <v>134</v>
      </c>
      <c r="M26" s="154" t="s">
        <v>132</v>
      </c>
      <c r="N26" s="154" t="s">
        <v>132</v>
      </c>
      <c r="O26" s="154" t="s">
        <v>132</v>
      </c>
      <c r="P26" s="154" t="s">
        <v>132</v>
      </c>
      <c r="Q26" s="154" t="s">
        <v>132</v>
      </c>
      <c r="R26" s="154" t="s">
        <v>132</v>
      </c>
      <c r="S26" s="154" t="s">
        <v>132</v>
      </c>
      <c r="T26" s="347" t="s">
        <v>132</v>
      </c>
      <c r="U26" s="139"/>
      <c r="V26" s="548" t="s">
        <v>461</v>
      </c>
      <c r="W26" s="259" t="s">
        <v>150</v>
      </c>
      <c r="X26" s="260" t="s">
        <v>619</v>
      </c>
      <c r="Y26" s="260" t="s">
        <v>543</v>
      </c>
      <c r="Z26" s="546" t="s">
        <v>449</v>
      </c>
      <c r="AA26" s="63" t="s">
        <v>465</v>
      </c>
      <c r="AB26" s="549"/>
      <c r="AC26" s="548" t="s">
        <v>462</v>
      </c>
      <c r="AD26" s="259" t="s">
        <v>150</v>
      </c>
      <c r="AE26" s="260" t="s">
        <v>619</v>
      </c>
      <c r="AF26" s="260" t="s">
        <v>544</v>
      </c>
      <c r="AG26" s="546" t="s">
        <v>450</v>
      </c>
      <c r="AH26" s="63" t="s">
        <v>466</v>
      </c>
      <c r="AI26" s="549"/>
    </row>
    <row r="27" spans="1:35">
      <c r="A27" s="139" t="s">
        <v>133</v>
      </c>
      <c r="C27" s="853">
        <f>IF(B7="TDD",E8,E7)</f>
        <v>20</v>
      </c>
      <c r="D27" s="856">
        <f t="shared" ref="D27:I27" si="5">C27</f>
        <v>20</v>
      </c>
      <c r="E27" s="856">
        <f t="shared" si="5"/>
        <v>20</v>
      </c>
      <c r="F27" s="856">
        <f t="shared" si="5"/>
        <v>20</v>
      </c>
      <c r="G27" s="856">
        <f t="shared" si="5"/>
        <v>20</v>
      </c>
      <c r="H27" s="856">
        <f t="shared" si="5"/>
        <v>20</v>
      </c>
      <c r="I27" s="856">
        <f t="shared" si="5"/>
        <v>20</v>
      </c>
      <c r="J27" s="857">
        <f>D27</f>
        <v>20</v>
      </c>
      <c r="K27" s="139" t="s">
        <v>133</v>
      </c>
      <c r="M27" s="853">
        <f>IF(B7="TDD",E8,H7)</f>
        <v>20</v>
      </c>
      <c r="N27" s="854">
        <f>M27</f>
        <v>20</v>
      </c>
      <c r="O27" s="854">
        <f t="shared" ref="O27:T27" si="6">N27</f>
        <v>20</v>
      </c>
      <c r="P27" s="854">
        <f t="shared" si="6"/>
        <v>20</v>
      </c>
      <c r="Q27" s="854">
        <f t="shared" si="6"/>
        <v>20</v>
      </c>
      <c r="R27" s="854">
        <f t="shared" si="6"/>
        <v>20</v>
      </c>
      <c r="S27" s="854">
        <f t="shared" si="6"/>
        <v>20</v>
      </c>
      <c r="T27" s="855">
        <f t="shared" si="6"/>
        <v>20</v>
      </c>
      <c r="U27" s="139"/>
      <c r="V27" s="793" t="str">
        <f t="shared" ref="V27:V40" si="7">V4</f>
        <v>n/a</v>
      </c>
      <c r="W27" s="794">
        <f t="shared" ref="W27:W30" si="8">IF(V27="n/a",0,IF(V27="BPSK",2,IF(V27="QPSK",2,IF(V27="16QAM",4,IF(V27="64QAM",6,IF(V27="256QAM",8))))))</f>
        <v>0</v>
      </c>
      <c r="X27" s="795">
        <f>IF(V27="n/a",0,W4/X4)</f>
        <v>0</v>
      </c>
      <c r="Y27" s="554">
        <f>IF($C$18="Yes",$C$15*W27*X27,W27*X27)</f>
        <v>0</v>
      </c>
      <c r="Z27" s="555">
        <f t="shared" ref="Z27:Z41" si="9">(1-$M$25)*Y27</f>
        <v>0</v>
      </c>
      <c r="AA27" s="861">
        <f>IF(OR(V27="n/a",V27=0),MIN($Y$4:$Y$18),Y4)</f>
        <v>-4.3</v>
      </c>
      <c r="AB27" s="796"/>
      <c r="AC27" s="807" t="str">
        <f>Z4</f>
        <v>n/a</v>
      </c>
      <c r="AD27" s="794">
        <f t="shared" ref="AD27:AD30" si="10">IF(AC27="n/a",0,IF(AC27="BPSK",2,IF(AC27="QPSK",2,IF(AC27="16QAM",4,IF(AC27="64QAM",6,IF(AC27="256QAM",8))))))</f>
        <v>0</v>
      </c>
      <c r="AE27" s="795">
        <f>IF(AC27="n/a",0,AA4/AB4)</f>
        <v>0</v>
      </c>
      <c r="AF27" s="554">
        <f>IF($C$17="Yes",$C$14*AD27*AE27,AD27*AE27)</f>
        <v>0</v>
      </c>
      <c r="AG27" s="555">
        <f>(1-$C$25)*AF27</f>
        <v>0</v>
      </c>
      <c r="AH27" s="861">
        <f>IF(OR(AC27="n/a",AC27=0),MIN($AC$4:$AC$18),AC4)</f>
        <v>-4.3</v>
      </c>
      <c r="AI27" s="797">
        <f>AG27</f>
        <v>0</v>
      </c>
    </row>
    <row r="28" spans="1:35">
      <c r="A28" s="139"/>
      <c r="C28" s="141"/>
      <c r="D28" s="140"/>
      <c r="E28" s="140"/>
      <c r="F28" s="140"/>
      <c r="G28" s="140"/>
      <c r="H28" s="140"/>
      <c r="I28" s="140"/>
      <c r="J28" s="348"/>
      <c r="K28" s="139"/>
      <c r="M28" s="141"/>
      <c r="N28" s="139"/>
      <c r="O28" s="139"/>
      <c r="P28" s="139"/>
      <c r="Q28" s="139"/>
      <c r="R28" s="139"/>
      <c r="S28" s="139"/>
      <c r="T28" s="349"/>
      <c r="U28" s="139"/>
      <c r="V28" s="793" t="str">
        <f t="shared" si="7"/>
        <v>n/a</v>
      </c>
      <c r="W28" s="794">
        <f t="shared" si="8"/>
        <v>0</v>
      </c>
      <c r="X28" s="795">
        <f t="shared" ref="X28:X41" si="11">IF(V28="n/a",0,W5/X5)</f>
        <v>0</v>
      </c>
      <c r="Y28" s="554">
        <f t="shared" ref="Y28:Y41" si="12">IF($C$18="Yes",$C$15*W28*X28,W28*X28)</f>
        <v>0</v>
      </c>
      <c r="Z28" s="555">
        <f t="shared" si="9"/>
        <v>0</v>
      </c>
      <c r="AA28" s="861">
        <f t="shared" ref="AA28:AA41" si="13">IF(OR(V28="n/a",V28=0),MIN($Y$4:$Y$18),Y5)</f>
        <v>-4.3</v>
      </c>
      <c r="AB28" s="796"/>
      <c r="AC28" s="807" t="str">
        <f t="shared" ref="AC28:AC41" si="14">Z5</f>
        <v>n/a</v>
      </c>
      <c r="AD28" s="794">
        <f t="shared" si="10"/>
        <v>0</v>
      </c>
      <c r="AE28" s="795">
        <f t="shared" ref="AE28:AE41" si="15">IF(AC28="n/a",0,AA5/AB5)</f>
        <v>0</v>
      </c>
      <c r="AF28" s="554">
        <f t="shared" ref="AF28:AF41" si="16">IF($C$17="Yes",$C$14*AD28*AE28,AD28*AE28)</f>
        <v>0</v>
      </c>
      <c r="AG28" s="555">
        <f t="shared" ref="AG28:AG41" si="17">(1-$C$25)*AF28</f>
        <v>0</v>
      </c>
      <c r="AH28" s="861">
        <f t="shared" ref="AH28:AH41" si="18">IF(OR(AC28="n/a",AC28=0),MIN($AC$4:$AC$18),AC5)</f>
        <v>-4.3</v>
      </c>
      <c r="AI28" s="797">
        <f t="shared" ref="AI28:AI41" si="19">AG28</f>
        <v>0</v>
      </c>
    </row>
    <row r="29" spans="1:35">
      <c r="A29" s="142" t="s">
        <v>115</v>
      </c>
      <c r="B29" s="139"/>
      <c r="C29" s="139"/>
      <c r="D29" s="139"/>
      <c r="E29" s="139"/>
      <c r="F29" s="139"/>
      <c r="G29" s="139"/>
      <c r="H29" s="139"/>
      <c r="I29" s="139"/>
      <c r="J29" s="349"/>
      <c r="K29" s="143" t="s">
        <v>116</v>
      </c>
      <c r="L29" s="139"/>
      <c r="M29" s="139"/>
      <c r="N29" s="139"/>
      <c r="O29" s="139"/>
      <c r="P29" s="139"/>
      <c r="Q29" s="139"/>
      <c r="R29" s="139"/>
      <c r="S29" s="139"/>
      <c r="T29" s="349"/>
      <c r="U29" s="361"/>
      <c r="V29" s="793" t="str">
        <f t="shared" si="7"/>
        <v>n/a</v>
      </c>
      <c r="W29" s="794">
        <f t="shared" si="8"/>
        <v>0</v>
      </c>
      <c r="X29" s="795">
        <f t="shared" si="11"/>
        <v>0</v>
      </c>
      <c r="Y29" s="554">
        <f t="shared" si="12"/>
        <v>0</v>
      </c>
      <c r="Z29" s="555">
        <f t="shared" si="9"/>
        <v>0</v>
      </c>
      <c r="AA29" s="861">
        <f t="shared" si="13"/>
        <v>-4.3</v>
      </c>
      <c r="AB29" s="796"/>
      <c r="AC29" s="807" t="str">
        <f t="shared" si="14"/>
        <v>n/a</v>
      </c>
      <c r="AD29" s="794">
        <f t="shared" si="10"/>
        <v>0</v>
      </c>
      <c r="AE29" s="795">
        <f t="shared" si="15"/>
        <v>0</v>
      </c>
      <c r="AF29" s="554">
        <f t="shared" si="16"/>
        <v>0</v>
      </c>
      <c r="AG29" s="555">
        <f t="shared" si="17"/>
        <v>0</v>
      </c>
      <c r="AH29" s="861">
        <f t="shared" si="18"/>
        <v>-4.3</v>
      </c>
      <c r="AI29" s="797">
        <f t="shared" si="19"/>
        <v>0</v>
      </c>
    </row>
    <row r="30" spans="1:35">
      <c r="A30" s="116" t="s">
        <v>131</v>
      </c>
      <c r="C30" s="851">
        <f t="shared" ref="C30:J30" si="20">C13</f>
        <v>1</v>
      </c>
      <c r="D30" s="851">
        <f t="shared" si="20"/>
        <v>1</v>
      </c>
      <c r="E30" s="851">
        <f t="shared" si="20"/>
        <v>1</v>
      </c>
      <c r="F30" s="851">
        <f t="shared" si="20"/>
        <v>1</v>
      </c>
      <c r="G30" s="851">
        <f t="shared" si="20"/>
        <v>1</v>
      </c>
      <c r="H30" s="851">
        <f t="shared" si="20"/>
        <v>1</v>
      </c>
      <c r="I30" s="851">
        <f t="shared" si="20"/>
        <v>1</v>
      </c>
      <c r="J30" s="852">
        <f t="shared" si="20"/>
        <v>1</v>
      </c>
      <c r="K30" s="116" t="s">
        <v>131</v>
      </c>
      <c r="M30" s="851">
        <f t="shared" ref="M30:T30" si="21">C21</f>
        <v>5</v>
      </c>
      <c r="N30" s="851">
        <f t="shared" si="21"/>
        <v>0.5</v>
      </c>
      <c r="O30" s="851">
        <f t="shared" si="21"/>
        <v>0.2</v>
      </c>
      <c r="P30" s="851">
        <f t="shared" si="21"/>
        <v>2</v>
      </c>
      <c r="Q30" s="851">
        <f t="shared" si="21"/>
        <v>0.5</v>
      </c>
      <c r="R30" s="851">
        <f t="shared" si="21"/>
        <v>0.1</v>
      </c>
      <c r="S30" s="851">
        <f t="shared" si="21"/>
        <v>1</v>
      </c>
      <c r="T30" s="852">
        <f t="shared" si="21"/>
        <v>1</v>
      </c>
      <c r="U30" s="139"/>
      <c r="V30" s="793" t="str">
        <f t="shared" si="7"/>
        <v>n/a</v>
      </c>
      <c r="W30" s="794">
        <f t="shared" si="8"/>
        <v>0</v>
      </c>
      <c r="X30" s="795">
        <f t="shared" si="11"/>
        <v>0</v>
      </c>
      <c r="Y30" s="554">
        <f t="shared" si="12"/>
        <v>0</v>
      </c>
      <c r="Z30" s="555">
        <f t="shared" si="9"/>
        <v>0</v>
      </c>
      <c r="AA30" s="861">
        <f t="shared" si="13"/>
        <v>-4.3</v>
      </c>
      <c r="AB30" s="796"/>
      <c r="AC30" s="807" t="str">
        <f t="shared" si="14"/>
        <v>n/a</v>
      </c>
      <c r="AD30" s="794">
        <f t="shared" si="10"/>
        <v>0</v>
      </c>
      <c r="AE30" s="795">
        <f t="shared" si="15"/>
        <v>0</v>
      </c>
      <c r="AF30" s="554">
        <f t="shared" si="16"/>
        <v>0</v>
      </c>
      <c r="AG30" s="555">
        <f t="shared" si="17"/>
        <v>0</v>
      </c>
      <c r="AH30" s="861">
        <f t="shared" si="18"/>
        <v>-4.3</v>
      </c>
      <c r="AI30" s="797">
        <f t="shared" si="19"/>
        <v>0</v>
      </c>
    </row>
    <row r="31" spans="1:35">
      <c r="A31" s="116" t="s">
        <v>558</v>
      </c>
      <c r="C31" s="820">
        <v>0</v>
      </c>
      <c r="D31" s="821">
        <f t="shared" ref="D31:I31" si="22">C31</f>
        <v>0</v>
      </c>
      <c r="E31" s="821">
        <f t="shared" si="22"/>
        <v>0</v>
      </c>
      <c r="F31" s="821">
        <f t="shared" si="22"/>
        <v>0</v>
      </c>
      <c r="G31" s="821">
        <f t="shared" si="22"/>
        <v>0</v>
      </c>
      <c r="H31" s="821">
        <f t="shared" si="22"/>
        <v>0</v>
      </c>
      <c r="I31" s="821">
        <f t="shared" si="22"/>
        <v>0</v>
      </c>
      <c r="J31" s="822">
        <f>D31</f>
        <v>0</v>
      </c>
      <c r="K31" s="116" t="s">
        <v>226</v>
      </c>
      <c r="M31" s="820">
        <v>0</v>
      </c>
      <c r="N31" s="820">
        <v>0</v>
      </c>
      <c r="O31" s="820">
        <v>0</v>
      </c>
      <c r="P31" s="820">
        <v>0</v>
      </c>
      <c r="Q31" s="820">
        <v>0</v>
      </c>
      <c r="R31" s="820">
        <v>0</v>
      </c>
      <c r="S31" s="820">
        <v>0</v>
      </c>
      <c r="T31" s="832">
        <v>0</v>
      </c>
      <c r="U31" s="139"/>
      <c r="V31" s="793" t="str">
        <f t="shared" si="7"/>
        <v>QPSK</v>
      </c>
      <c r="W31" s="794">
        <f>IF(V31="n/a",0,IF(V31="BPSK",2,IF(V31="QPSK",2,IF(V31="16QAM",4,IF(V31="64QAM",6,IF(V31="256QAM",8))))))</f>
        <v>2</v>
      </c>
      <c r="X31" s="795">
        <f t="shared" si="11"/>
        <v>8.3333333333333329E-2</v>
      </c>
      <c r="Y31" s="554">
        <f t="shared" si="12"/>
        <v>0.16666666666666666</v>
      </c>
      <c r="Z31" s="555">
        <f t="shared" si="9"/>
        <v>0.11516666666666667</v>
      </c>
      <c r="AA31" s="861">
        <f t="shared" si="13"/>
        <v>-4.3</v>
      </c>
      <c r="AB31" s="796"/>
      <c r="AC31" s="807" t="str">
        <f t="shared" si="14"/>
        <v>QPSK</v>
      </c>
      <c r="AD31" s="794">
        <f>IF(AC31="n/a",0,IF(AC31="BPSK",2,IF(AC31="QPSK",2,IF(AC31="16QAM",4,IF(AC31="64QAM",6,IF(AC31="256QAM",8))))))</f>
        <v>2</v>
      </c>
      <c r="AE31" s="795">
        <f t="shared" si="15"/>
        <v>8.3333333333333329E-2</v>
      </c>
      <c r="AF31" s="554">
        <f t="shared" si="16"/>
        <v>0.16666666666666666</v>
      </c>
      <c r="AG31" s="555">
        <f t="shared" si="17"/>
        <v>0.11783333333333335</v>
      </c>
      <c r="AH31" s="861">
        <f t="shared" si="18"/>
        <v>-4.3</v>
      </c>
      <c r="AI31" s="797">
        <f t="shared" si="19"/>
        <v>0.11783333333333335</v>
      </c>
    </row>
    <row r="32" spans="1:35">
      <c r="A32" s="145" t="s">
        <v>117</v>
      </c>
      <c r="C32" s="150">
        <f t="shared" ref="C32:J32" si="23">C14</f>
        <v>1</v>
      </c>
      <c r="D32" s="150">
        <f t="shared" si="23"/>
        <v>1</v>
      </c>
      <c r="E32" s="150">
        <f t="shared" si="23"/>
        <v>1</v>
      </c>
      <c r="F32" s="150">
        <f t="shared" si="23"/>
        <v>1</v>
      </c>
      <c r="G32" s="150">
        <f t="shared" si="23"/>
        <v>1</v>
      </c>
      <c r="H32" s="150">
        <f t="shared" si="23"/>
        <v>1</v>
      </c>
      <c r="I32" s="150">
        <f t="shared" si="23"/>
        <v>1</v>
      </c>
      <c r="J32" s="351">
        <f t="shared" si="23"/>
        <v>1</v>
      </c>
      <c r="K32" s="145" t="s">
        <v>117</v>
      </c>
      <c r="M32" s="150">
        <f t="shared" ref="M32:T32" si="24">C22</f>
        <v>1</v>
      </c>
      <c r="N32" s="150">
        <f t="shared" si="24"/>
        <v>1</v>
      </c>
      <c r="O32" s="150">
        <f t="shared" si="24"/>
        <v>1</v>
      </c>
      <c r="P32" s="150">
        <f t="shared" si="24"/>
        <v>1</v>
      </c>
      <c r="Q32" s="150">
        <f t="shared" si="24"/>
        <v>1</v>
      </c>
      <c r="R32" s="150">
        <f t="shared" si="24"/>
        <v>1</v>
      </c>
      <c r="S32" s="150">
        <f t="shared" si="24"/>
        <v>1</v>
      </c>
      <c r="T32" s="351">
        <f t="shared" si="24"/>
        <v>1</v>
      </c>
      <c r="U32" s="139"/>
      <c r="V32" s="793" t="str">
        <f t="shared" si="7"/>
        <v>QPSK</v>
      </c>
      <c r="W32" s="794">
        <f t="shared" ref="W32:W41" si="25">IF(V32="n/a",0,IF(V32="BPSK",2,IF(V32="QPSK",2,IF(V32="16QAM",4,IF(V32="64QAM",6,IF(V32="256QAM",8))))))</f>
        <v>2</v>
      </c>
      <c r="X32" s="795">
        <f t="shared" si="11"/>
        <v>0.125</v>
      </c>
      <c r="Y32" s="554">
        <f t="shared" si="12"/>
        <v>0.25</v>
      </c>
      <c r="Z32" s="555">
        <f t="shared" si="9"/>
        <v>0.17275000000000001</v>
      </c>
      <c r="AA32" s="861">
        <f t="shared" si="13"/>
        <v>-2.5</v>
      </c>
      <c r="AB32" s="796"/>
      <c r="AC32" s="807" t="str">
        <f t="shared" si="14"/>
        <v>QPSK</v>
      </c>
      <c r="AD32" s="794">
        <f t="shared" ref="AD32:AD41" si="26">IF(AC32="n/a",0,IF(AC32="BPSK",2,IF(AC32="QPSK",2,IF(AC32="16QAM",4,IF(AC32="64QAM",6,IF(AC32="256QAM",8))))))</f>
        <v>2</v>
      </c>
      <c r="AE32" s="795">
        <f t="shared" si="15"/>
        <v>0.125</v>
      </c>
      <c r="AF32" s="554">
        <f t="shared" si="16"/>
        <v>0.25</v>
      </c>
      <c r="AG32" s="555">
        <f t="shared" si="17"/>
        <v>0.17675000000000002</v>
      </c>
      <c r="AH32" s="861">
        <f t="shared" si="18"/>
        <v>-2.5</v>
      </c>
      <c r="AI32" s="797">
        <f t="shared" si="19"/>
        <v>0.17675000000000002</v>
      </c>
    </row>
    <row r="33" spans="1:35">
      <c r="A33" s="116" t="s">
        <v>136</v>
      </c>
      <c r="C33" s="826">
        <f t="shared" ref="C33:J33" si="27">IF(C32=2,3,0)</f>
        <v>0</v>
      </c>
      <c r="D33" s="826">
        <f t="shared" si="27"/>
        <v>0</v>
      </c>
      <c r="E33" s="826">
        <f t="shared" si="27"/>
        <v>0</v>
      </c>
      <c r="F33" s="826">
        <f t="shared" si="27"/>
        <v>0</v>
      </c>
      <c r="G33" s="826">
        <f t="shared" si="27"/>
        <v>0</v>
      </c>
      <c r="H33" s="826">
        <f t="shared" si="27"/>
        <v>0</v>
      </c>
      <c r="I33" s="826">
        <f t="shared" si="27"/>
        <v>0</v>
      </c>
      <c r="J33" s="827">
        <f t="shared" si="27"/>
        <v>0</v>
      </c>
      <c r="K33" s="116" t="s">
        <v>136</v>
      </c>
      <c r="L33" s="139"/>
      <c r="M33" s="826">
        <f t="shared" ref="M33:T33" si="28">IF(M32=2,3,0)</f>
        <v>0</v>
      </c>
      <c r="N33" s="826">
        <f t="shared" si="28"/>
        <v>0</v>
      </c>
      <c r="O33" s="826">
        <f t="shared" si="28"/>
        <v>0</v>
      </c>
      <c r="P33" s="826">
        <f t="shared" si="28"/>
        <v>0</v>
      </c>
      <c r="Q33" s="826">
        <f t="shared" si="28"/>
        <v>0</v>
      </c>
      <c r="R33" s="826">
        <f t="shared" si="28"/>
        <v>0</v>
      </c>
      <c r="S33" s="826">
        <f t="shared" si="28"/>
        <v>0</v>
      </c>
      <c r="T33" s="827">
        <f t="shared" si="28"/>
        <v>0</v>
      </c>
      <c r="U33" s="139"/>
      <c r="V33" s="793" t="str">
        <f t="shared" si="7"/>
        <v>QPSK</v>
      </c>
      <c r="W33" s="794">
        <f t="shared" si="25"/>
        <v>2</v>
      </c>
      <c r="X33" s="795">
        <f t="shared" si="11"/>
        <v>0.25</v>
      </c>
      <c r="Y33" s="554">
        <f t="shared" si="12"/>
        <v>0.5</v>
      </c>
      <c r="Z33" s="555">
        <f t="shared" si="9"/>
        <v>0.34550000000000003</v>
      </c>
      <c r="AA33" s="861">
        <f t="shared" si="13"/>
        <v>0.5</v>
      </c>
      <c r="AB33" s="796"/>
      <c r="AC33" s="807" t="str">
        <f t="shared" si="14"/>
        <v>QPSK</v>
      </c>
      <c r="AD33" s="794">
        <f t="shared" si="26"/>
        <v>2</v>
      </c>
      <c r="AE33" s="795">
        <f t="shared" si="15"/>
        <v>0.25</v>
      </c>
      <c r="AF33" s="554">
        <f t="shared" si="16"/>
        <v>0.5</v>
      </c>
      <c r="AG33" s="555">
        <f t="shared" si="17"/>
        <v>0.35350000000000004</v>
      </c>
      <c r="AH33" s="861">
        <f t="shared" si="18"/>
        <v>0.5</v>
      </c>
      <c r="AI33" s="797">
        <f t="shared" si="19"/>
        <v>0.35350000000000004</v>
      </c>
    </row>
    <row r="34" spans="1:35">
      <c r="A34" s="117" t="s">
        <v>118</v>
      </c>
      <c r="C34" s="824">
        <f t="shared" ref="C34:J34" si="29">C12</f>
        <v>5</v>
      </c>
      <c r="D34" s="824">
        <f t="shared" si="29"/>
        <v>5</v>
      </c>
      <c r="E34" s="824">
        <f t="shared" si="29"/>
        <v>5</v>
      </c>
      <c r="F34" s="824">
        <f t="shared" si="29"/>
        <v>5</v>
      </c>
      <c r="G34" s="824">
        <f t="shared" si="29"/>
        <v>5</v>
      </c>
      <c r="H34" s="824">
        <f t="shared" si="29"/>
        <v>5</v>
      </c>
      <c r="I34" s="824">
        <f t="shared" si="29"/>
        <v>5</v>
      </c>
      <c r="J34" s="825">
        <f t="shared" si="29"/>
        <v>5</v>
      </c>
      <c r="K34" s="117" t="s">
        <v>118</v>
      </c>
      <c r="L34" s="139"/>
      <c r="M34" s="833">
        <f t="shared" ref="M34:T34" si="30">C39</f>
        <v>12</v>
      </c>
      <c r="N34" s="833">
        <f t="shared" si="30"/>
        <v>5</v>
      </c>
      <c r="O34" s="833">
        <f t="shared" si="30"/>
        <v>7</v>
      </c>
      <c r="P34" s="833">
        <f t="shared" si="30"/>
        <v>5</v>
      </c>
      <c r="Q34" s="833">
        <f t="shared" si="30"/>
        <v>0</v>
      </c>
      <c r="R34" s="833">
        <f t="shared" si="30"/>
        <v>-1</v>
      </c>
      <c r="S34" s="833">
        <f t="shared" si="30"/>
        <v>2</v>
      </c>
      <c r="T34" s="834">
        <f t="shared" si="30"/>
        <v>2</v>
      </c>
      <c r="U34" s="139"/>
      <c r="V34" s="793" t="str">
        <f t="shared" si="7"/>
        <v>QPSK</v>
      </c>
      <c r="W34" s="794">
        <f t="shared" si="25"/>
        <v>2</v>
      </c>
      <c r="X34" s="795">
        <f t="shared" si="11"/>
        <v>0.5</v>
      </c>
      <c r="Y34" s="554">
        <f t="shared" si="12"/>
        <v>1</v>
      </c>
      <c r="Z34" s="555">
        <f t="shared" si="9"/>
        <v>0.69100000000000006</v>
      </c>
      <c r="AA34" s="861">
        <f t="shared" si="13"/>
        <v>3.5</v>
      </c>
      <c r="AB34" s="796"/>
      <c r="AC34" s="807" t="str">
        <f t="shared" si="14"/>
        <v>QPSK</v>
      </c>
      <c r="AD34" s="794">
        <f t="shared" si="26"/>
        <v>2</v>
      </c>
      <c r="AE34" s="795">
        <f t="shared" si="15"/>
        <v>0.5</v>
      </c>
      <c r="AF34" s="554">
        <f t="shared" si="16"/>
        <v>1</v>
      </c>
      <c r="AG34" s="555">
        <f t="shared" si="17"/>
        <v>0.70700000000000007</v>
      </c>
      <c r="AH34" s="861">
        <f t="shared" si="18"/>
        <v>3.5</v>
      </c>
      <c r="AI34" s="797">
        <f t="shared" si="19"/>
        <v>0.70700000000000007</v>
      </c>
    </row>
    <row r="35" spans="1:35">
      <c r="A35" s="26" t="s">
        <v>119</v>
      </c>
      <c r="C35" s="828">
        <f t="shared" ref="C35:J35" si="31">10*LOG10(C30)+C33+C34-C31+30</f>
        <v>35</v>
      </c>
      <c r="D35" s="828">
        <f t="shared" si="31"/>
        <v>35</v>
      </c>
      <c r="E35" s="828">
        <f t="shared" si="31"/>
        <v>35</v>
      </c>
      <c r="F35" s="828">
        <f t="shared" si="31"/>
        <v>35</v>
      </c>
      <c r="G35" s="828">
        <f t="shared" si="31"/>
        <v>35</v>
      </c>
      <c r="H35" s="828">
        <f t="shared" si="31"/>
        <v>35</v>
      </c>
      <c r="I35" s="828">
        <f t="shared" si="31"/>
        <v>35</v>
      </c>
      <c r="J35" s="829">
        <f t="shared" si="31"/>
        <v>35</v>
      </c>
      <c r="K35" s="26" t="s">
        <v>119</v>
      </c>
      <c r="L35" s="139"/>
      <c r="M35" s="828">
        <f t="shared" ref="M35:T35" si="32">10*LOG10(M30)+M33+M34-M31+30</f>
        <v>48.989700043360187</v>
      </c>
      <c r="N35" s="828">
        <f t="shared" si="32"/>
        <v>31.989700043360187</v>
      </c>
      <c r="O35" s="828">
        <f t="shared" si="32"/>
        <v>30.010299956639813</v>
      </c>
      <c r="P35" s="828">
        <f t="shared" si="32"/>
        <v>38.010299956639813</v>
      </c>
      <c r="Q35" s="828">
        <f t="shared" si="32"/>
        <v>26.989700043360187</v>
      </c>
      <c r="R35" s="828">
        <f t="shared" si="32"/>
        <v>19</v>
      </c>
      <c r="S35" s="828">
        <f t="shared" si="32"/>
        <v>32</v>
      </c>
      <c r="T35" s="829">
        <f t="shared" si="32"/>
        <v>32</v>
      </c>
      <c r="U35" s="139"/>
      <c r="V35" s="793" t="str">
        <f t="shared" si="7"/>
        <v>QPSK</v>
      </c>
      <c r="W35" s="794">
        <f t="shared" si="25"/>
        <v>2</v>
      </c>
      <c r="X35" s="795">
        <f t="shared" si="11"/>
        <v>0.75</v>
      </c>
      <c r="Y35" s="554">
        <f t="shared" si="12"/>
        <v>1.5</v>
      </c>
      <c r="Z35" s="555">
        <f t="shared" si="9"/>
        <v>1.0365000000000002</v>
      </c>
      <c r="AA35" s="861">
        <f t="shared" si="13"/>
        <v>6.8</v>
      </c>
      <c r="AB35" s="796"/>
      <c r="AC35" s="807" t="str">
        <f t="shared" si="14"/>
        <v>QPSK</v>
      </c>
      <c r="AD35" s="794">
        <f t="shared" si="26"/>
        <v>2</v>
      </c>
      <c r="AE35" s="795">
        <f t="shared" si="15"/>
        <v>0.75</v>
      </c>
      <c r="AF35" s="554">
        <f t="shared" si="16"/>
        <v>1.5</v>
      </c>
      <c r="AG35" s="555">
        <f t="shared" si="17"/>
        <v>1.0605000000000002</v>
      </c>
      <c r="AH35" s="861">
        <f t="shared" si="18"/>
        <v>6.8</v>
      </c>
      <c r="AI35" s="797">
        <f t="shared" si="19"/>
        <v>1.0605000000000002</v>
      </c>
    </row>
    <row r="36" spans="1:35">
      <c r="A36" s="139"/>
      <c r="C36" s="146"/>
      <c r="D36" s="144"/>
      <c r="E36" s="144"/>
      <c r="F36" s="144"/>
      <c r="G36" s="144"/>
      <c r="H36" s="144"/>
      <c r="I36" s="144"/>
      <c r="J36" s="349"/>
      <c r="K36" s="139"/>
      <c r="L36" s="139"/>
      <c r="M36" s="139"/>
      <c r="N36" s="139"/>
      <c r="O36" s="139"/>
      <c r="P36" s="139"/>
      <c r="Q36" s="139"/>
      <c r="R36" s="139"/>
      <c r="S36" s="139"/>
      <c r="T36" s="349"/>
      <c r="U36" s="139"/>
      <c r="V36" s="793" t="str">
        <f t="shared" si="7"/>
        <v>16QAM</v>
      </c>
      <c r="W36" s="794">
        <f t="shared" si="25"/>
        <v>4</v>
      </c>
      <c r="X36" s="795">
        <f t="shared" si="11"/>
        <v>0.5</v>
      </c>
      <c r="Y36" s="554">
        <f t="shared" si="12"/>
        <v>2</v>
      </c>
      <c r="Z36" s="555">
        <f t="shared" si="9"/>
        <v>1.3820000000000001</v>
      </c>
      <c r="AA36" s="861">
        <f t="shared" si="13"/>
        <v>8.9</v>
      </c>
      <c r="AB36" s="796"/>
      <c r="AC36" s="807" t="str">
        <f t="shared" si="14"/>
        <v>16QAM</v>
      </c>
      <c r="AD36" s="794">
        <f t="shared" si="26"/>
        <v>4</v>
      </c>
      <c r="AE36" s="795">
        <f t="shared" si="15"/>
        <v>0.5</v>
      </c>
      <c r="AF36" s="554">
        <f t="shared" si="16"/>
        <v>2</v>
      </c>
      <c r="AG36" s="555">
        <f t="shared" si="17"/>
        <v>1.4140000000000001</v>
      </c>
      <c r="AH36" s="861">
        <f t="shared" si="18"/>
        <v>8.9</v>
      </c>
      <c r="AI36" s="797">
        <f t="shared" si="19"/>
        <v>1.4140000000000001</v>
      </c>
    </row>
    <row r="37" spans="1:35">
      <c r="A37" s="147"/>
      <c r="B37" s="21"/>
      <c r="C37" s="148"/>
      <c r="D37" s="149"/>
      <c r="E37" s="149"/>
      <c r="F37" s="149"/>
      <c r="G37" s="149"/>
      <c r="H37" s="149"/>
      <c r="I37" s="149"/>
      <c r="J37" s="353"/>
      <c r="K37" s="147"/>
      <c r="L37" s="147"/>
      <c r="M37" s="147"/>
      <c r="N37" s="147"/>
      <c r="O37" s="147"/>
      <c r="P37" s="147"/>
      <c r="Q37" s="147"/>
      <c r="R37" s="147"/>
      <c r="S37" s="147"/>
      <c r="T37" s="353"/>
      <c r="U37" s="139"/>
      <c r="V37" s="793" t="str">
        <f t="shared" si="7"/>
        <v>16QAM</v>
      </c>
      <c r="W37" s="794">
        <f t="shared" si="25"/>
        <v>4</v>
      </c>
      <c r="X37" s="795">
        <f t="shared" si="11"/>
        <v>0.75</v>
      </c>
      <c r="Y37" s="554">
        <f t="shared" si="12"/>
        <v>3</v>
      </c>
      <c r="Z37" s="555">
        <f t="shared" si="9"/>
        <v>2.0730000000000004</v>
      </c>
      <c r="AA37" s="861">
        <f t="shared" si="13"/>
        <v>13</v>
      </c>
      <c r="AB37" s="796"/>
      <c r="AC37" s="807" t="str">
        <f t="shared" si="14"/>
        <v>16QAM</v>
      </c>
      <c r="AD37" s="794">
        <f t="shared" si="26"/>
        <v>4</v>
      </c>
      <c r="AE37" s="795">
        <f t="shared" si="15"/>
        <v>0.75</v>
      </c>
      <c r="AF37" s="554">
        <f t="shared" si="16"/>
        <v>3</v>
      </c>
      <c r="AG37" s="555">
        <f t="shared" si="17"/>
        <v>2.1210000000000004</v>
      </c>
      <c r="AH37" s="861">
        <f t="shared" si="18"/>
        <v>13</v>
      </c>
      <c r="AI37" s="797">
        <f t="shared" si="19"/>
        <v>2.1210000000000004</v>
      </c>
    </row>
    <row r="38" spans="1:35">
      <c r="A38" s="143" t="s">
        <v>120</v>
      </c>
      <c r="C38" s="146"/>
      <c r="D38" s="144"/>
      <c r="E38" s="144"/>
      <c r="F38" s="144"/>
      <c r="G38" s="144"/>
      <c r="H38" s="144"/>
      <c r="I38" s="144"/>
      <c r="J38" s="349"/>
      <c r="K38" s="143" t="s">
        <v>121</v>
      </c>
      <c r="L38" s="139"/>
      <c r="N38" s="139"/>
      <c r="O38" s="139"/>
      <c r="P38" s="139"/>
      <c r="Q38" s="139"/>
      <c r="R38" s="139"/>
      <c r="S38" s="139"/>
      <c r="T38" s="349"/>
      <c r="U38" s="139"/>
      <c r="V38" s="793" t="str">
        <f t="shared" si="7"/>
        <v>64QAM</v>
      </c>
      <c r="W38" s="794">
        <f t="shared" si="25"/>
        <v>6</v>
      </c>
      <c r="X38" s="795">
        <f t="shared" si="11"/>
        <v>0.5</v>
      </c>
      <c r="Y38" s="554">
        <f t="shared" si="12"/>
        <v>3</v>
      </c>
      <c r="Z38" s="555">
        <f t="shared" si="9"/>
        <v>2.0730000000000004</v>
      </c>
      <c r="AA38" s="861">
        <f t="shared" si="13"/>
        <v>13.9</v>
      </c>
      <c r="AB38" s="796"/>
      <c r="AC38" s="807" t="str">
        <f t="shared" si="14"/>
        <v>64QAM</v>
      </c>
      <c r="AD38" s="794">
        <f t="shared" si="26"/>
        <v>6</v>
      </c>
      <c r="AE38" s="795">
        <f t="shared" si="15"/>
        <v>0.5</v>
      </c>
      <c r="AF38" s="554">
        <f t="shared" si="16"/>
        <v>3</v>
      </c>
      <c r="AG38" s="555">
        <f t="shared" si="17"/>
        <v>2.1210000000000004</v>
      </c>
      <c r="AH38" s="861">
        <f t="shared" si="18"/>
        <v>13.9</v>
      </c>
      <c r="AI38" s="797">
        <f t="shared" si="19"/>
        <v>2.1210000000000004</v>
      </c>
    </row>
    <row r="39" spans="1:35">
      <c r="A39" s="139" t="s">
        <v>122</v>
      </c>
      <c r="C39" s="824">
        <f t="shared" ref="C39:J39" si="33">C20</f>
        <v>12</v>
      </c>
      <c r="D39" s="824">
        <f t="shared" si="33"/>
        <v>5</v>
      </c>
      <c r="E39" s="824">
        <f t="shared" si="33"/>
        <v>7</v>
      </c>
      <c r="F39" s="824">
        <f t="shared" si="33"/>
        <v>5</v>
      </c>
      <c r="G39" s="824">
        <f t="shared" si="33"/>
        <v>0</v>
      </c>
      <c r="H39" s="824">
        <f t="shared" si="33"/>
        <v>-1</v>
      </c>
      <c r="I39" s="824">
        <f t="shared" si="33"/>
        <v>2</v>
      </c>
      <c r="J39" s="825">
        <f t="shared" si="33"/>
        <v>2</v>
      </c>
      <c r="K39" s="139" t="s">
        <v>122</v>
      </c>
      <c r="M39" s="833">
        <f>C34</f>
        <v>5</v>
      </c>
      <c r="N39" s="833">
        <f t="shared" ref="N39:S39" si="34">M39</f>
        <v>5</v>
      </c>
      <c r="O39" s="833">
        <f t="shared" si="34"/>
        <v>5</v>
      </c>
      <c r="P39" s="833">
        <f t="shared" si="34"/>
        <v>5</v>
      </c>
      <c r="Q39" s="833">
        <f t="shared" si="34"/>
        <v>5</v>
      </c>
      <c r="R39" s="833">
        <f t="shared" si="34"/>
        <v>5</v>
      </c>
      <c r="S39" s="833">
        <f t="shared" si="34"/>
        <v>5</v>
      </c>
      <c r="T39" s="834">
        <f>N39</f>
        <v>5</v>
      </c>
      <c r="U39" s="139"/>
      <c r="V39" s="793" t="str">
        <f t="shared" si="7"/>
        <v>64QAM</v>
      </c>
      <c r="W39" s="794">
        <f t="shared" si="25"/>
        <v>6</v>
      </c>
      <c r="X39" s="795">
        <f t="shared" si="11"/>
        <v>0.66666666666666663</v>
      </c>
      <c r="Y39" s="554">
        <f t="shared" si="12"/>
        <v>4</v>
      </c>
      <c r="Z39" s="555">
        <f t="shared" si="9"/>
        <v>2.7640000000000002</v>
      </c>
      <c r="AA39" s="861">
        <f t="shared" si="13"/>
        <v>17.3</v>
      </c>
      <c r="AB39" s="796"/>
      <c r="AC39" s="807" t="str">
        <f t="shared" si="14"/>
        <v>64QAM</v>
      </c>
      <c r="AD39" s="794">
        <f t="shared" si="26"/>
        <v>6</v>
      </c>
      <c r="AE39" s="795">
        <f t="shared" si="15"/>
        <v>0.66666666666666663</v>
      </c>
      <c r="AF39" s="554">
        <f t="shared" si="16"/>
        <v>4</v>
      </c>
      <c r="AG39" s="555">
        <f t="shared" si="17"/>
        <v>2.8280000000000003</v>
      </c>
      <c r="AH39" s="861">
        <f t="shared" si="18"/>
        <v>17.3</v>
      </c>
      <c r="AI39" s="797">
        <f t="shared" si="19"/>
        <v>2.8280000000000003</v>
      </c>
    </row>
    <row r="40" spans="1:35">
      <c r="A40" s="139" t="s">
        <v>123</v>
      </c>
      <c r="C40" s="150">
        <f>C23</f>
        <v>1</v>
      </c>
      <c r="D40" s="251">
        <f t="shared" ref="D40:D45" si="35">C40</f>
        <v>1</v>
      </c>
      <c r="E40" s="251">
        <f>D40</f>
        <v>1</v>
      </c>
      <c r="F40" s="251">
        <f>E40</f>
        <v>1</v>
      </c>
      <c r="G40" s="251">
        <f>F40</f>
        <v>1</v>
      </c>
      <c r="H40" s="251">
        <f>G40</f>
        <v>1</v>
      </c>
      <c r="I40" s="251">
        <f>H40</f>
        <v>1</v>
      </c>
      <c r="J40" s="354">
        <f>D40</f>
        <v>1</v>
      </c>
      <c r="K40" s="139" t="s">
        <v>123</v>
      </c>
      <c r="M40" s="150">
        <f t="shared" ref="M40:T40" si="36">C15</f>
        <v>1</v>
      </c>
      <c r="N40" s="150">
        <f t="shared" si="36"/>
        <v>1</v>
      </c>
      <c r="O40" s="150">
        <f t="shared" si="36"/>
        <v>1</v>
      </c>
      <c r="P40" s="150">
        <f t="shared" si="36"/>
        <v>1</v>
      </c>
      <c r="Q40" s="150">
        <f t="shared" si="36"/>
        <v>1</v>
      </c>
      <c r="R40" s="150">
        <f t="shared" si="36"/>
        <v>1</v>
      </c>
      <c r="S40" s="150">
        <f t="shared" si="36"/>
        <v>1</v>
      </c>
      <c r="T40" s="351">
        <f t="shared" si="36"/>
        <v>1</v>
      </c>
      <c r="U40" s="139"/>
      <c r="V40" s="793" t="str">
        <f t="shared" si="7"/>
        <v>64QAM</v>
      </c>
      <c r="W40" s="794">
        <f t="shared" si="25"/>
        <v>6</v>
      </c>
      <c r="X40" s="795">
        <f t="shared" si="11"/>
        <v>0.75</v>
      </c>
      <c r="Y40" s="554">
        <f t="shared" si="12"/>
        <v>4.5</v>
      </c>
      <c r="Z40" s="555">
        <f t="shared" si="9"/>
        <v>3.1095000000000002</v>
      </c>
      <c r="AA40" s="861">
        <f t="shared" si="13"/>
        <v>18.5</v>
      </c>
      <c r="AB40" s="796"/>
      <c r="AC40" s="807" t="str">
        <f t="shared" si="14"/>
        <v>64QAM</v>
      </c>
      <c r="AD40" s="794">
        <f t="shared" si="26"/>
        <v>6</v>
      </c>
      <c r="AE40" s="795">
        <f t="shared" si="15"/>
        <v>0.75</v>
      </c>
      <c r="AF40" s="554">
        <f t="shared" si="16"/>
        <v>4.5</v>
      </c>
      <c r="AG40" s="555">
        <f t="shared" si="17"/>
        <v>3.1815000000000002</v>
      </c>
      <c r="AH40" s="861">
        <f t="shared" si="18"/>
        <v>18.5</v>
      </c>
      <c r="AI40" s="797">
        <f t="shared" si="19"/>
        <v>3.1815000000000002</v>
      </c>
    </row>
    <row r="41" spans="1:35" ht="15.75" thickBot="1">
      <c r="A41" s="139" t="s">
        <v>124</v>
      </c>
      <c r="C41" s="826">
        <f t="shared" ref="C41:J41" si="37">IF(C40=2,3,0)</f>
        <v>0</v>
      </c>
      <c r="D41" s="826">
        <f t="shared" si="37"/>
        <v>0</v>
      </c>
      <c r="E41" s="826">
        <f t="shared" si="37"/>
        <v>0</v>
      </c>
      <c r="F41" s="826">
        <f t="shared" si="37"/>
        <v>0</v>
      </c>
      <c r="G41" s="826">
        <f t="shared" si="37"/>
        <v>0</v>
      </c>
      <c r="H41" s="826">
        <f t="shared" si="37"/>
        <v>0</v>
      </c>
      <c r="I41" s="826">
        <f t="shared" si="37"/>
        <v>0</v>
      </c>
      <c r="J41" s="827">
        <f t="shared" si="37"/>
        <v>0</v>
      </c>
      <c r="K41" s="139" t="s">
        <v>124</v>
      </c>
      <c r="M41" s="826">
        <f t="shared" ref="M41:T41" si="38">IF(M40=2,3,0)</f>
        <v>0</v>
      </c>
      <c r="N41" s="826">
        <f t="shared" si="38"/>
        <v>0</v>
      </c>
      <c r="O41" s="826">
        <f t="shared" si="38"/>
        <v>0</v>
      </c>
      <c r="P41" s="826">
        <f t="shared" si="38"/>
        <v>0</v>
      </c>
      <c r="Q41" s="826">
        <f t="shared" si="38"/>
        <v>0</v>
      </c>
      <c r="R41" s="826">
        <f t="shared" si="38"/>
        <v>0</v>
      </c>
      <c r="S41" s="826">
        <f t="shared" si="38"/>
        <v>0</v>
      </c>
      <c r="T41" s="827">
        <f t="shared" si="38"/>
        <v>0</v>
      </c>
      <c r="U41" s="361"/>
      <c r="V41" s="793" t="str">
        <f>V18</f>
        <v>64QAM</v>
      </c>
      <c r="W41" s="794">
        <f t="shared" si="25"/>
        <v>6</v>
      </c>
      <c r="X41" s="795">
        <f t="shared" si="11"/>
        <v>0.83333333333333337</v>
      </c>
      <c r="Y41" s="554">
        <f t="shared" si="12"/>
        <v>5</v>
      </c>
      <c r="Z41" s="559">
        <f t="shared" si="9"/>
        <v>3.4550000000000001</v>
      </c>
      <c r="AA41" s="861">
        <f t="shared" si="13"/>
        <v>20.3</v>
      </c>
      <c r="AB41" s="798"/>
      <c r="AC41" s="807" t="str">
        <f t="shared" si="14"/>
        <v>64QAM</v>
      </c>
      <c r="AD41" s="794">
        <f t="shared" si="26"/>
        <v>6</v>
      </c>
      <c r="AE41" s="795">
        <f t="shared" si="15"/>
        <v>0.83333333333333337</v>
      </c>
      <c r="AF41" s="554">
        <f t="shared" si="16"/>
        <v>5</v>
      </c>
      <c r="AG41" s="559">
        <f t="shared" si="17"/>
        <v>3.5350000000000001</v>
      </c>
      <c r="AH41" s="861">
        <f t="shared" si="18"/>
        <v>20.3</v>
      </c>
      <c r="AI41" s="799">
        <f t="shared" si="19"/>
        <v>3.5350000000000001</v>
      </c>
    </row>
    <row r="42" spans="1:35">
      <c r="A42" s="139"/>
      <c r="C42" s="146"/>
      <c r="D42" s="146"/>
      <c r="E42" s="146"/>
      <c r="F42" s="146"/>
      <c r="G42" s="146"/>
      <c r="H42" s="146"/>
      <c r="I42" s="146"/>
      <c r="J42" s="352"/>
      <c r="K42" s="139"/>
      <c r="M42" s="146"/>
      <c r="N42" s="139"/>
      <c r="O42" s="139"/>
      <c r="P42" s="139"/>
      <c r="Q42" s="139"/>
      <c r="R42" s="139"/>
      <c r="S42" s="139"/>
      <c r="T42" s="349"/>
      <c r="U42" s="139"/>
      <c r="V42" s="560"/>
      <c r="W42" s="561"/>
      <c r="X42" s="562" t="s">
        <v>490</v>
      </c>
      <c r="Y42" s="563">
        <f>Y41*IF($B$7="TDD",$H$10,$H$7)</f>
        <v>50</v>
      </c>
      <c r="Z42" s="564">
        <f>Z41*IF($B$7="TDD",$H$10,$H$7)</f>
        <v>34.549999999999997</v>
      </c>
      <c r="AA42" s="565" t="s">
        <v>195</v>
      </c>
      <c r="AB42" s="566"/>
      <c r="AC42" s="560"/>
      <c r="AD42" s="561"/>
      <c r="AE42" s="562" t="s">
        <v>491</v>
      </c>
      <c r="AF42" s="563">
        <f>AF41*IF($B$7="TDD",$E$9,$E$7)</f>
        <v>50</v>
      </c>
      <c r="AG42" s="564">
        <f>AG41*IF($B$7="TDD",$E$9,$E$7)</f>
        <v>35.35</v>
      </c>
      <c r="AH42" s="583" t="s">
        <v>195</v>
      </c>
      <c r="AI42" s="566"/>
    </row>
    <row r="43" spans="1:35">
      <c r="A43" s="139" t="s">
        <v>125</v>
      </c>
      <c r="C43" s="841">
        <v>-174</v>
      </c>
      <c r="D43" s="841">
        <f t="shared" si="35"/>
        <v>-174</v>
      </c>
      <c r="E43" s="841">
        <f>D43</f>
        <v>-174</v>
      </c>
      <c r="F43" s="841">
        <f>E43</f>
        <v>-174</v>
      </c>
      <c r="G43" s="841">
        <f>F43</f>
        <v>-174</v>
      </c>
      <c r="H43" s="841">
        <f>G43</f>
        <v>-174</v>
      </c>
      <c r="I43" s="841">
        <f>H43</f>
        <v>-174</v>
      </c>
      <c r="J43" s="842">
        <f>D43</f>
        <v>-174</v>
      </c>
      <c r="K43" s="139" t="s">
        <v>125</v>
      </c>
      <c r="L43" s="139"/>
      <c r="M43" s="841">
        <f>C43</f>
        <v>-174</v>
      </c>
      <c r="N43" s="841">
        <f t="shared" ref="N43:S43" si="39">M43</f>
        <v>-174</v>
      </c>
      <c r="O43" s="841">
        <f t="shared" si="39"/>
        <v>-174</v>
      </c>
      <c r="P43" s="841">
        <f t="shared" si="39"/>
        <v>-174</v>
      </c>
      <c r="Q43" s="841">
        <f t="shared" si="39"/>
        <v>-174</v>
      </c>
      <c r="R43" s="841">
        <f t="shared" si="39"/>
        <v>-174</v>
      </c>
      <c r="S43" s="841">
        <f t="shared" si="39"/>
        <v>-174</v>
      </c>
      <c r="T43" s="829">
        <f>N43</f>
        <v>-174</v>
      </c>
      <c r="U43" s="139"/>
      <c r="V43" s="567"/>
      <c r="W43" s="6"/>
      <c r="X43" s="6"/>
      <c r="Y43" s="6"/>
      <c r="Z43" s="24"/>
      <c r="AA43" s="24"/>
      <c r="AB43" s="568"/>
      <c r="AC43" s="567"/>
      <c r="AD43" s="6"/>
      <c r="AE43" s="6"/>
      <c r="AF43" s="40" t="s">
        <v>492</v>
      </c>
      <c r="AG43" s="584">
        <f>'C-SG Ntwrk-Input-BS-Output '!B27</f>
        <v>2.0102999566398125</v>
      </c>
      <c r="AH43" s="585" t="s">
        <v>66</v>
      </c>
      <c r="AI43" s="568"/>
    </row>
    <row r="44" spans="1:35">
      <c r="A44" s="139" t="s">
        <v>126</v>
      </c>
      <c r="C44" s="830">
        <f t="shared" ref="C44:J44" si="40">C24</f>
        <v>5</v>
      </c>
      <c r="D44" s="830">
        <f t="shared" si="40"/>
        <v>6</v>
      </c>
      <c r="E44" s="830">
        <f t="shared" si="40"/>
        <v>6</v>
      </c>
      <c r="F44" s="830">
        <f t="shared" si="40"/>
        <v>6</v>
      </c>
      <c r="G44" s="830">
        <f t="shared" si="40"/>
        <v>5</v>
      </c>
      <c r="H44" s="830">
        <f t="shared" si="40"/>
        <v>5</v>
      </c>
      <c r="I44" s="830">
        <f t="shared" si="40"/>
        <v>5</v>
      </c>
      <c r="J44" s="831">
        <f t="shared" si="40"/>
        <v>6</v>
      </c>
      <c r="K44" s="139" t="s">
        <v>126</v>
      </c>
      <c r="L44" s="139"/>
      <c r="M44" s="830">
        <f t="shared" ref="M44:T44" si="41">C16</f>
        <v>4</v>
      </c>
      <c r="N44" s="830">
        <f t="shared" si="41"/>
        <v>4</v>
      </c>
      <c r="O44" s="830">
        <f t="shared" si="41"/>
        <v>4</v>
      </c>
      <c r="P44" s="830">
        <f t="shared" si="41"/>
        <v>4</v>
      </c>
      <c r="Q44" s="830">
        <f t="shared" si="41"/>
        <v>4</v>
      </c>
      <c r="R44" s="830">
        <f t="shared" si="41"/>
        <v>4</v>
      </c>
      <c r="S44" s="830">
        <f t="shared" si="41"/>
        <v>4</v>
      </c>
      <c r="T44" s="831">
        <f t="shared" si="41"/>
        <v>4</v>
      </c>
      <c r="U44" s="139"/>
      <c r="V44" s="569"/>
      <c r="W44" s="155"/>
      <c r="X44" s="155"/>
      <c r="Y44" s="557" t="s">
        <v>498</v>
      </c>
      <c r="Z44" s="23">
        <f>M48</f>
        <v>-4.3</v>
      </c>
      <c r="AA44" s="24" t="s">
        <v>66</v>
      </c>
      <c r="AB44" s="568"/>
      <c r="AC44" s="569"/>
      <c r="AD44" s="155"/>
      <c r="AE44" s="155"/>
      <c r="AF44" s="557" t="s">
        <v>480</v>
      </c>
      <c r="AG44" s="586">
        <f>AG43+Z44</f>
        <v>-2.2897000433601873</v>
      </c>
      <c r="AH44" s="585" t="s">
        <v>66</v>
      </c>
      <c r="AI44" s="568"/>
    </row>
    <row r="45" spans="1:35">
      <c r="A45" s="139" t="s">
        <v>127</v>
      </c>
      <c r="C45" s="828">
        <f>C43+C44+10*LOG10(C27)+60</f>
        <v>-95.989700043360187</v>
      </c>
      <c r="D45" s="828">
        <f t="shared" si="35"/>
        <v>-95.989700043360187</v>
      </c>
      <c r="E45" s="828">
        <f>D45</f>
        <v>-95.989700043360187</v>
      </c>
      <c r="F45" s="828">
        <f>E45</f>
        <v>-95.989700043360187</v>
      </c>
      <c r="G45" s="828">
        <f>F45</f>
        <v>-95.989700043360187</v>
      </c>
      <c r="H45" s="828">
        <f>G45</f>
        <v>-95.989700043360187</v>
      </c>
      <c r="I45" s="828">
        <f>H45</f>
        <v>-95.989700043360187</v>
      </c>
      <c r="J45" s="829">
        <f>D45</f>
        <v>-95.989700043360187</v>
      </c>
      <c r="K45" s="139" t="s">
        <v>127</v>
      </c>
      <c r="L45" s="139"/>
      <c r="M45" s="828">
        <f t="shared" ref="M45:T45" si="42">M43+M44+10*LOG10(M27)+60</f>
        <v>-96.989700043360187</v>
      </c>
      <c r="N45" s="828">
        <f t="shared" si="42"/>
        <v>-96.989700043360187</v>
      </c>
      <c r="O45" s="828">
        <f t="shared" si="42"/>
        <v>-96.989700043360187</v>
      </c>
      <c r="P45" s="828">
        <f t="shared" si="42"/>
        <v>-96.989700043360187</v>
      </c>
      <c r="Q45" s="828">
        <f t="shared" si="42"/>
        <v>-96.989700043360187</v>
      </c>
      <c r="R45" s="828">
        <f t="shared" si="42"/>
        <v>-96.989700043360187</v>
      </c>
      <c r="S45" s="828">
        <f t="shared" si="42"/>
        <v>-96.989700043360187</v>
      </c>
      <c r="T45" s="829">
        <f t="shared" si="42"/>
        <v>-96.989700043360187</v>
      </c>
      <c r="U45" s="139"/>
      <c r="V45" s="567"/>
      <c r="W45" s="6"/>
      <c r="X45" s="6"/>
      <c r="Y45" s="6"/>
      <c r="Z45" s="24"/>
      <c r="AA45" s="24"/>
      <c r="AB45" s="568"/>
      <c r="AC45" s="567"/>
      <c r="AD45" s="6"/>
      <c r="AE45" s="6"/>
      <c r="AF45" s="40" t="s">
        <v>478</v>
      </c>
      <c r="AG45" s="587">
        <f>VLOOKUP($AG$44,$AH$27:$AI$41,2)</f>
        <v>0.17675000000000002</v>
      </c>
      <c r="AH45" s="585" t="s">
        <v>477</v>
      </c>
      <c r="AI45" s="568"/>
    </row>
    <row r="46" spans="1:35">
      <c r="A46" s="139" t="s">
        <v>208</v>
      </c>
      <c r="C46" s="141">
        <f>('C-SG Ntwrk-Input-BS-Output '!B10)*(1+'C-SG Ntwrk-Input-BS-Output '!B14+'C-SG Ntwrk-Input-BS-Output '!B15)</f>
        <v>0.60000000000000009</v>
      </c>
      <c r="D46" s="141">
        <f>C46</f>
        <v>0.60000000000000009</v>
      </c>
      <c r="E46" s="141">
        <f t="shared" ref="E46:J46" si="43">D46</f>
        <v>0.60000000000000009</v>
      </c>
      <c r="F46" s="141">
        <f t="shared" si="43"/>
        <v>0.60000000000000009</v>
      </c>
      <c r="G46" s="141">
        <f t="shared" si="43"/>
        <v>0.60000000000000009</v>
      </c>
      <c r="H46" s="141">
        <f t="shared" si="43"/>
        <v>0.60000000000000009</v>
      </c>
      <c r="I46" s="141">
        <f t="shared" si="43"/>
        <v>0.60000000000000009</v>
      </c>
      <c r="J46" s="350">
        <f t="shared" si="43"/>
        <v>0.60000000000000009</v>
      </c>
      <c r="K46" s="139" t="s">
        <v>209</v>
      </c>
      <c r="L46" s="139"/>
      <c r="M46" s="141">
        <f>('C-SG Ntwrk-Input-BS-Output '!B9)*(1+'C-SG Ntwrk-Input-BS-Output '!B14+'C-SG Ntwrk-Input-BS-Output '!B15)</f>
        <v>0.60000000000000009</v>
      </c>
      <c r="N46" s="141">
        <f>M46</f>
        <v>0.60000000000000009</v>
      </c>
      <c r="O46" s="141">
        <f t="shared" ref="O46:T46" si="44">N46</f>
        <v>0.60000000000000009</v>
      </c>
      <c r="P46" s="141">
        <f t="shared" si="44"/>
        <v>0.60000000000000009</v>
      </c>
      <c r="Q46" s="141">
        <f t="shared" si="44"/>
        <v>0.60000000000000009</v>
      </c>
      <c r="R46" s="141">
        <f t="shared" si="44"/>
        <v>0.60000000000000009</v>
      </c>
      <c r="S46" s="141">
        <f t="shared" si="44"/>
        <v>0.60000000000000009</v>
      </c>
      <c r="T46" s="350">
        <f t="shared" si="44"/>
        <v>0.60000000000000009</v>
      </c>
      <c r="U46" s="139"/>
      <c r="V46" s="569"/>
      <c r="W46" s="155"/>
      <c r="X46" s="155"/>
      <c r="Y46" s="557" t="s">
        <v>481</v>
      </c>
      <c r="Z46" s="558">
        <f>Z31*IF($B$7="TDD",$H$10,$H$7)</f>
        <v>1.1516666666666666</v>
      </c>
      <c r="AA46" s="24" t="s">
        <v>195</v>
      </c>
      <c r="AB46" s="568"/>
      <c r="AC46" s="569"/>
      <c r="AD46" s="155"/>
      <c r="AE46" s="155"/>
      <c r="AF46" s="557" t="s">
        <v>479</v>
      </c>
      <c r="AG46" s="558">
        <f>AG45*IF($B$7="TDD",$E$9,$E$7)</f>
        <v>1.7675000000000001</v>
      </c>
      <c r="AH46" s="588" t="s">
        <v>195</v>
      </c>
      <c r="AI46" s="568"/>
    </row>
    <row r="47" spans="1:35" ht="15.75" thickBot="1">
      <c r="A47" s="153" t="s">
        <v>200</v>
      </c>
      <c r="C47" s="261">
        <f t="shared" ref="C47:J47" si="45">C46/C27</f>
        <v>3.0000000000000006E-2</v>
      </c>
      <c r="D47" s="261">
        <f t="shared" si="45"/>
        <v>3.0000000000000006E-2</v>
      </c>
      <c r="E47" s="261">
        <f t="shared" si="45"/>
        <v>3.0000000000000006E-2</v>
      </c>
      <c r="F47" s="261">
        <f t="shared" si="45"/>
        <v>3.0000000000000006E-2</v>
      </c>
      <c r="G47" s="261">
        <f t="shared" si="45"/>
        <v>3.0000000000000006E-2</v>
      </c>
      <c r="H47" s="261">
        <f t="shared" si="45"/>
        <v>3.0000000000000006E-2</v>
      </c>
      <c r="I47" s="261">
        <f t="shared" si="45"/>
        <v>3.0000000000000006E-2</v>
      </c>
      <c r="J47" s="355">
        <f t="shared" si="45"/>
        <v>3.0000000000000006E-2</v>
      </c>
      <c r="K47" s="153" t="s">
        <v>200</v>
      </c>
      <c r="L47" s="139"/>
      <c r="M47" s="261">
        <f t="shared" ref="M47:T47" si="46">IF(M46/M27&lt;$Z27,$Z27,(M46/M27))</f>
        <v>3.0000000000000006E-2</v>
      </c>
      <c r="N47" s="261">
        <f t="shared" si="46"/>
        <v>3.0000000000000006E-2</v>
      </c>
      <c r="O47" s="261">
        <f t="shared" si="46"/>
        <v>3.0000000000000006E-2</v>
      </c>
      <c r="P47" s="261">
        <f t="shared" si="46"/>
        <v>3.0000000000000006E-2</v>
      </c>
      <c r="Q47" s="261">
        <f t="shared" si="46"/>
        <v>3.0000000000000006E-2</v>
      </c>
      <c r="R47" s="261">
        <f t="shared" si="46"/>
        <v>3.0000000000000006E-2</v>
      </c>
      <c r="S47" s="261">
        <f t="shared" si="46"/>
        <v>3.0000000000000006E-2</v>
      </c>
      <c r="T47" s="355">
        <f t="shared" si="46"/>
        <v>3.0000000000000006E-2</v>
      </c>
      <c r="U47" s="139"/>
      <c r="V47" s="570"/>
      <c r="W47" s="571"/>
      <c r="X47" s="571"/>
      <c r="Y47" s="572" t="s">
        <v>494</v>
      </c>
      <c r="Z47" s="573">
        <f>(Z42+Z46)/2</f>
        <v>17.85083333333333</v>
      </c>
      <c r="AA47" s="574" t="s">
        <v>195</v>
      </c>
      <c r="AB47" s="575"/>
      <c r="AC47" s="576"/>
      <c r="AD47" s="577"/>
      <c r="AE47" s="577"/>
      <c r="AF47" s="578" t="s">
        <v>495</v>
      </c>
      <c r="AG47" s="589">
        <f>(AG42+AG46)/2</f>
        <v>18.55875</v>
      </c>
      <c r="AH47" s="590" t="s">
        <v>195</v>
      </c>
      <c r="AI47" s="575"/>
    </row>
    <row r="48" spans="1:35">
      <c r="A48" s="139" t="s">
        <v>496</v>
      </c>
      <c r="C48" s="826">
        <f>VLOOKUP(C47,$AG$27:$AH$37,2)</f>
        <v>-4.3</v>
      </c>
      <c r="D48" s="826">
        <f t="shared" ref="D48:J48" si="47">VLOOKUP(D47,$AG$27:$AH$37,2)</f>
        <v>-4.3</v>
      </c>
      <c r="E48" s="826">
        <f t="shared" si="47"/>
        <v>-4.3</v>
      </c>
      <c r="F48" s="826">
        <f t="shared" si="47"/>
        <v>-4.3</v>
      </c>
      <c r="G48" s="826">
        <f t="shared" si="47"/>
        <v>-4.3</v>
      </c>
      <c r="H48" s="826">
        <f t="shared" si="47"/>
        <v>-4.3</v>
      </c>
      <c r="I48" s="826">
        <f t="shared" si="47"/>
        <v>-4.3</v>
      </c>
      <c r="J48" s="826">
        <f t="shared" si="47"/>
        <v>-4.3</v>
      </c>
      <c r="K48" s="556" t="s">
        <v>497</v>
      </c>
      <c r="L48" s="139"/>
      <c r="M48" s="826">
        <f t="shared" ref="M48:T48" si="48">VLOOKUP(M47,$Z$27:$AA$37,2)</f>
        <v>-4.3</v>
      </c>
      <c r="N48" s="826">
        <f t="shared" si="48"/>
        <v>-4.3</v>
      </c>
      <c r="O48" s="826">
        <f t="shared" si="48"/>
        <v>-4.3</v>
      </c>
      <c r="P48" s="826">
        <f t="shared" si="48"/>
        <v>-4.3</v>
      </c>
      <c r="Q48" s="826">
        <f t="shared" si="48"/>
        <v>-4.3</v>
      </c>
      <c r="R48" s="826">
        <f t="shared" si="48"/>
        <v>-4.3</v>
      </c>
      <c r="S48" s="826">
        <f t="shared" si="48"/>
        <v>-4.3</v>
      </c>
      <c r="T48" s="827">
        <f t="shared" si="48"/>
        <v>-4.3</v>
      </c>
    </row>
    <row r="49" spans="1:21">
      <c r="A49" s="139" t="s">
        <v>128</v>
      </c>
      <c r="C49" s="828">
        <f>C45+C48</f>
        <v>-100.28970004336018</v>
      </c>
      <c r="D49" s="828">
        <f t="shared" ref="D49:J49" si="49">D45+D48</f>
        <v>-100.28970004336018</v>
      </c>
      <c r="E49" s="828">
        <f t="shared" si="49"/>
        <v>-100.28970004336018</v>
      </c>
      <c r="F49" s="828">
        <f t="shared" si="49"/>
        <v>-100.28970004336018</v>
      </c>
      <c r="G49" s="828">
        <f t="shared" si="49"/>
        <v>-100.28970004336018</v>
      </c>
      <c r="H49" s="828">
        <f t="shared" si="49"/>
        <v>-100.28970004336018</v>
      </c>
      <c r="I49" s="828">
        <f t="shared" si="49"/>
        <v>-100.28970004336018</v>
      </c>
      <c r="J49" s="829">
        <f t="shared" si="49"/>
        <v>-100.28970004336018</v>
      </c>
      <c r="K49" s="139" t="s">
        <v>128</v>
      </c>
      <c r="L49" s="139"/>
      <c r="M49" s="828">
        <f t="shared" ref="M49:T49" si="50">M45+M48</f>
        <v>-101.28970004336018</v>
      </c>
      <c r="N49" s="828">
        <f t="shared" si="50"/>
        <v>-101.28970004336018</v>
      </c>
      <c r="O49" s="828">
        <f t="shared" si="50"/>
        <v>-101.28970004336018</v>
      </c>
      <c r="P49" s="828">
        <f t="shared" si="50"/>
        <v>-101.28970004336018</v>
      </c>
      <c r="Q49" s="828">
        <f t="shared" si="50"/>
        <v>-101.28970004336018</v>
      </c>
      <c r="R49" s="828">
        <f t="shared" si="50"/>
        <v>-101.28970004336018</v>
      </c>
      <c r="S49" s="828">
        <f t="shared" si="50"/>
        <v>-101.28970004336018</v>
      </c>
      <c r="T49" s="829">
        <f t="shared" si="50"/>
        <v>-101.28970004336018</v>
      </c>
      <c r="U49" s="139"/>
    </row>
    <row r="50" spans="1:21" ht="90">
      <c r="A50" s="640" t="str">
        <f>A19</f>
        <v>Terminal Type (Actor)</v>
      </c>
      <c r="B50" s="641"/>
      <c r="C50" s="642" t="str">
        <f>C19</f>
        <v>Fixed Outdoor Pole or Bldg-Mounted Terminal</v>
      </c>
      <c r="D50" s="642" t="str">
        <f t="shared" ref="D50:J50" si="51">D19</f>
        <v>Fixed Indoor Self-Installed Terminal</v>
      </c>
      <c r="E50" s="642" t="str">
        <f t="shared" si="51"/>
        <v>Vehicular Installed Mobile Terminal</v>
      </c>
      <c r="F50" s="642" t="str">
        <f t="shared" si="51"/>
        <v>Feeder Line Device</v>
      </c>
      <c r="G50" s="642" t="str">
        <f t="shared" si="51"/>
        <v>Wireless-Enabled Smart Meter</v>
      </c>
      <c r="H50" s="642" t="str">
        <f t="shared" si="51"/>
        <v>Mobile Handheld Device</v>
      </c>
      <c r="I50" s="642" t="str">
        <f t="shared" si="51"/>
        <v>Other "A"</v>
      </c>
      <c r="J50" s="643" t="str">
        <f t="shared" si="51"/>
        <v>Other "B"</v>
      </c>
      <c r="K50" s="640" t="str">
        <f>A50</f>
        <v>Terminal Type (Actor)</v>
      </c>
      <c r="L50" s="641"/>
      <c r="M50" s="642" t="str">
        <f>M19</f>
        <v>Fixed Outdoor Pole or Bldg-Mounted Terminal</v>
      </c>
      <c r="N50" s="642" t="str">
        <f t="shared" ref="N50:T50" si="52">N19</f>
        <v>Fixed Indoor Self-Installed Terminal</v>
      </c>
      <c r="O50" s="642" t="str">
        <f t="shared" si="52"/>
        <v>Vehicular Installed Mobile Terminal</v>
      </c>
      <c r="P50" s="642" t="str">
        <f t="shared" si="52"/>
        <v>Feeder Line Device</v>
      </c>
      <c r="Q50" s="642" t="str">
        <f t="shared" si="52"/>
        <v>Wireless-Enabled Smart Meter</v>
      </c>
      <c r="R50" s="642" t="str">
        <f t="shared" si="52"/>
        <v>Mobile Handheld Device</v>
      </c>
      <c r="S50" s="642" t="str">
        <f t="shared" si="52"/>
        <v>Other "A"</v>
      </c>
      <c r="T50" s="643" t="str">
        <f t="shared" si="52"/>
        <v>Other "B"</v>
      </c>
      <c r="U50" s="139"/>
    </row>
    <row r="51" spans="1:21">
      <c r="A51" s="702" t="s">
        <v>129</v>
      </c>
      <c r="B51" s="81"/>
      <c r="C51" s="835">
        <f>C35-C49+C39+C41</f>
        <v>147.2897000433602</v>
      </c>
      <c r="D51" s="835">
        <f t="shared" ref="D51:J51" si="53">D35-D49+D39+D41</f>
        <v>140.2897000433602</v>
      </c>
      <c r="E51" s="835">
        <f t="shared" si="53"/>
        <v>142.2897000433602</v>
      </c>
      <c r="F51" s="835">
        <f t="shared" si="53"/>
        <v>140.2897000433602</v>
      </c>
      <c r="G51" s="835">
        <f t="shared" si="53"/>
        <v>135.2897000433602</v>
      </c>
      <c r="H51" s="835">
        <f t="shared" si="53"/>
        <v>134.2897000433602</v>
      </c>
      <c r="I51" s="835">
        <f t="shared" si="53"/>
        <v>137.2897000433602</v>
      </c>
      <c r="J51" s="836">
        <f t="shared" si="53"/>
        <v>137.2897000433602</v>
      </c>
      <c r="K51" s="702" t="s">
        <v>130</v>
      </c>
      <c r="L51" s="410"/>
      <c r="M51" s="835">
        <f>M35-M49+M39+M41</f>
        <v>155.27940008672039</v>
      </c>
      <c r="N51" s="835">
        <f t="shared" ref="N51:T51" si="54">N35-N49+N39+N41</f>
        <v>138.27940008672039</v>
      </c>
      <c r="O51" s="835">
        <f t="shared" si="54"/>
        <v>136.30000000000001</v>
      </c>
      <c r="P51" s="835">
        <f t="shared" si="54"/>
        <v>144.30000000000001</v>
      </c>
      <c r="Q51" s="835">
        <f t="shared" si="54"/>
        <v>133.27940008672039</v>
      </c>
      <c r="R51" s="835">
        <f t="shared" si="54"/>
        <v>125.28970004336018</v>
      </c>
      <c r="S51" s="835">
        <f t="shared" si="54"/>
        <v>138.2897000433602</v>
      </c>
      <c r="T51" s="836">
        <f t="shared" si="54"/>
        <v>138.2897000433602</v>
      </c>
      <c r="U51" s="139"/>
    </row>
    <row r="52" spans="1:21">
      <c r="A52" s="702" t="s">
        <v>194</v>
      </c>
      <c r="B52" s="81"/>
      <c r="C52" s="835">
        <f t="shared" ref="C52:J52" si="55">MIN($B51,C51,M51)</f>
        <v>147.2897000433602</v>
      </c>
      <c r="D52" s="835">
        <f t="shared" si="55"/>
        <v>138.27940008672039</v>
      </c>
      <c r="E52" s="835">
        <f t="shared" si="55"/>
        <v>136.30000000000001</v>
      </c>
      <c r="F52" s="835">
        <f t="shared" si="55"/>
        <v>140.2897000433602</v>
      </c>
      <c r="G52" s="835">
        <f t="shared" si="55"/>
        <v>133.27940008672039</v>
      </c>
      <c r="H52" s="835">
        <f t="shared" si="55"/>
        <v>125.28970004336018</v>
      </c>
      <c r="I52" s="835">
        <f t="shared" si="55"/>
        <v>137.2897000433602</v>
      </c>
      <c r="J52" s="836">
        <f t="shared" si="55"/>
        <v>137.2897000433602</v>
      </c>
      <c r="K52" s="139"/>
      <c r="L52" s="139"/>
      <c r="M52" s="139"/>
      <c r="N52" s="139"/>
      <c r="O52" s="139"/>
      <c r="P52" s="139"/>
      <c r="Q52" s="139"/>
      <c r="R52" s="139"/>
      <c r="S52" s="139"/>
      <c r="T52" s="139"/>
      <c r="U52" s="139"/>
    </row>
    <row r="53" spans="1:21">
      <c r="A53" s="703" t="s">
        <v>627</v>
      </c>
      <c r="B53" s="543"/>
      <c r="C53" s="837">
        <f>C51-C52</f>
        <v>0</v>
      </c>
      <c r="D53" s="837">
        <f t="shared" ref="D53:J53" si="56">D51-D52</f>
        <v>2.0102999566398125</v>
      </c>
      <c r="E53" s="837">
        <f t="shared" si="56"/>
        <v>5.9897000433601875</v>
      </c>
      <c r="F53" s="837">
        <f t="shared" si="56"/>
        <v>0</v>
      </c>
      <c r="G53" s="837">
        <f t="shared" si="56"/>
        <v>2.0102999566398125</v>
      </c>
      <c r="H53" s="837">
        <f t="shared" si="56"/>
        <v>9.0000000000000142</v>
      </c>
      <c r="I53" s="837">
        <f t="shared" si="56"/>
        <v>0</v>
      </c>
      <c r="J53" s="838">
        <f t="shared" si="56"/>
        <v>0</v>
      </c>
      <c r="K53" s="139"/>
      <c r="L53" s="139"/>
      <c r="M53" s="139"/>
      <c r="N53" s="139"/>
      <c r="O53" s="139"/>
      <c r="P53" s="139"/>
      <c r="Q53" s="139"/>
      <c r="R53" s="139"/>
      <c r="S53" s="139"/>
      <c r="T53" s="139"/>
      <c r="U53" s="139"/>
    </row>
    <row r="54" spans="1:21" ht="32.25" customHeight="1">
      <c r="A54" s="887" t="s">
        <v>522</v>
      </c>
      <c r="B54" s="888"/>
      <c r="C54" s="888"/>
      <c r="D54" s="888"/>
      <c r="E54" s="888"/>
      <c r="F54" s="888"/>
      <c r="G54" s="888"/>
      <c r="H54" s="888"/>
      <c r="I54" s="888"/>
      <c r="J54" s="889"/>
      <c r="K54" s="116"/>
      <c r="L54" s="116"/>
      <c r="M54" s="116"/>
      <c r="N54" s="116"/>
      <c r="O54" s="116"/>
      <c r="P54" s="116"/>
      <c r="Q54" s="116"/>
      <c r="R54" s="116"/>
      <c r="S54" s="116"/>
      <c r="T54" s="139"/>
      <c r="U54" s="139"/>
    </row>
    <row r="55" spans="1:21" ht="30">
      <c r="A55" s="87" t="s">
        <v>276</v>
      </c>
      <c r="B55" s="3" t="s">
        <v>137</v>
      </c>
      <c r="C55" s="3" t="s">
        <v>138</v>
      </c>
      <c r="D55" s="63" t="s">
        <v>289</v>
      </c>
      <c r="E55" s="882" t="s">
        <v>145</v>
      </c>
      <c r="F55" s="883"/>
      <c r="G55" s="883"/>
      <c r="H55" s="883"/>
      <c r="I55" s="883"/>
      <c r="J55" s="883"/>
      <c r="K55" s="136"/>
      <c r="L55" s="136"/>
      <c r="M55" s="136"/>
      <c r="N55" s="136"/>
      <c r="O55" s="136"/>
      <c r="P55" s="136"/>
      <c r="Q55" s="136"/>
      <c r="R55" s="136"/>
      <c r="S55" s="136"/>
    </row>
    <row r="56" spans="1:21" ht="30" customHeight="1">
      <c r="A56" s="628" t="s">
        <v>139</v>
      </c>
      <c r="B56" s="542" t="s">
        <v>453</v>
      </c>
      <c r="C56" s="265" t="s">
        <v>285</v>
      </c>
      <c r="D56" s="266" t="s">
        <v>290</v>
      </c>
      <c r="E56" s="880" t="s">
        <v>144</v>
      </c>
      <c r="F56" s="881"/>
      <c r="G56" s="881"/>
      <c r="H56" s="881"/>
      <c r="I56" s="881"/>
      <c r="J56" s="881"/>
      <c r="K56" s="263"/>
      <c r="L56" s="263"/>
      <c r="M56" s="263"/>
      <c r="N56" s="263"/>
      <c r="O56" s="263"/>
      <c r="P56" s="263"/>
      <c r="Q56" s="263"/>
      <c r="R56" s="263"/>
      <c r="S56" s="263"/>
    </row>
    <row r="57" spans="1:21" ht="30.75" customHeight="1">
      <c r="A57" s="628" t="s">
        <v>284</v>
      </c>
      <c r="B57" s="264" t="s">
        <v>287</v>
      </c>
      <c r="C57" s="265" t="s">
        <v>291</v>
      </c>
      <c r="D57" s="266" t="s">
        <v>292</v>
      </c>
      <c r="E57" s="880" t="s">
        <v>457</v>
      </c>
      <c r="F57" s="881"/>
      <c r="G57" s="881"/>
      <c r="H57" s="881"/>
      <c r="I57" s="881"/>
      <c r="J57" s="881"/>
      <c r="K57" s="263"/>
      <c r="L57" s="263"/>
      <c r="M57" s="263"/>
      <c r="N57" s="263"/>
      <c r="O57" s="263"/>
      <c r="P57" s="263"/>
      <c r="Q57" s="263"/>
      <c r="R57" s="263"/>
      <c r="S57" s="263"/>
    </row>
    <row r="58" spans="1:21">
      <c r="A58" s="628" t="s">
        <v>297</v>
      </c>
      <c r="B58" s="264">
        <v>5</v>
      </c>
      <c r="C58" s="265" t="s">
        <v>288</v>
      </c>
      <c r="D58" s="266" t="s">
        <v>293</v>
      </c>
      <c r="E58" s="884"/>
      <c r="F58" s="885"/>
      <c r="G58" s="885"/>
      <c r="H58" s="885"/>
      <c r="I58" s="885"/>
      <c r="J58" s="886"/>
      <c r="K58" s="263"/>
      <c r="L58" s="263"/>
      <c r="M58" s="263"/>
      <c r="N58" s="263"/>
      <c r="O58" s="263"/>
      <c r="P58" s="263"/>
      <c r="Q58" s="263"/>
      <c r="R58" s="263"/>
      <c r="S58" s="263"/>
    </row>
    <row r="59" spans="1:21" ht="15" customHeight="1">
      <c r="A59" s="628" t="s">
        <v>282</v>
      </c>
      <c r="B59" s="264" t="s">
        <v>454</v>
      </c>
      <c r="C59" s="265">
        <v>0.2</v>
      </c>
      <c r="D59" s="266" t="s">
        <v>294</v>
      </c>
      <c r="E59" s="880" t="s">
        <v>458</v>
      </c>
      <c r="F59" s="881"/>
      <c r="G59" s="881"/>
      <c r="H59" s="881"/>
      <c r="I59" s="881"/>
      <c r="J59" s="881"/>
      <c r="K59" s="263"/>
      <c r="L59" s="263"/>
      <c r="M59" s="263"/>
      <c r="N59" s="263"/>
      <c r="O59" s="263"/>
      <c r="P59" s="263"/>
      <c r="Q59" s="263"/>
      <c r="R59" s="263"/>
      <c r="S59" s="263"/>
    </row>
    <row r="60" spans="1:21">
      <c r="A60" s="628" t="s">
        <v>283</v>
      </c>
      <c r="B60" s="264" t="s">
        <v>455</v>
      </c>
      <c r="C60" s="264" t="s">
        <v>285</v>
      </c>
      <c r="D60" s="266" t="s">
        <v>295</v>
      </c>
      <c r="E60" s="880" t="s">
        <v>458</v>
      </c>
      <c r="F60" s="881"/>
      <c r="G60" s="881"/>
      <c r="H60" s="881"/>
      <c r="I60" s="881"/>
      <c r="J60" s="881"/>
      <c r="K60" s="263"/>
      <c r="L60" s="263"/>
      <c r="M60" s="263"/>
      <c r="N60" s="263"/>
      <c r="O60" s="263"/>
      <c r="P60" s="263"/>
      <c r="Q60" s="263"/>
      <c r="R60" s="263"/>
      <c r="S60" s="263"/>
    </row>
    <row r="61" spans="1:21" ht="30" customHeight="1">
      <c r="A61" s="628" t="s">
        <v>335</v>
      </c>
      <c r="B61" s="264" t="s">
        <v>456</v>
      </c>
      <c r="C61" s="264" t="s">
        <v>286</v>
      </c>
      <c r="D61" s="266" t="s">
        <v>296</v>
      </c>
      <c r="E61" s="880" t="s">
        <v>336</v>
      </c>
      <c r="F61" s="881"/>
      <c r="G61" s="881"/>
      <c r="H61" s="881"/>
      <c r="I61" s="881"/>
      <c r="J61" s="881"/>
      <c r="K61" s="263"/>
      <c r="L61" s="263"/>
      <c r="M61" s="263"/>
      <c r="N61" s="263"/>
      <c r="O61" s="263"/>
      <c r="P61" s="263"/>
      <c r="Q61" s="263"/>
      <c r="R61" s="263"/>
      <c r="S61" s="263"/>
    </row>
    <row r="62" spans="1:21" s="929" customFormat="1" ht="15" customHeight="1">
      <c r="A62" s="938" t="s">
        <v>338</v>
      </c>
      <c r="B62" s="939">
        <v>2</v>
      </c>
      <c r="C62" s="940">
        <v>1</v>
      </c>
      <c r="D62" s="941">
        <f>10*LOG(C62)+30+B62</f>
        <v>32</v>
      </c>
      <c r="E62" s="942"/>
      <c r="F62" s="943"/>
      <c r="G62" s="943"/>
      <c r="H62" s="943"/>
      <c r="I62" s="943"/>
      <c r="J62" s="944"/>
      <c r="K62" s="945"/>
      <c r="L62" s="945"/>
      <c r="M62" s="945"/>
      <c r="N62" s="945"/>
      <c r="O62" s="945"/>
      <c r="P62" s="945"/>
      <c r="Q62" s="945"/>
      <c r="R62" s="945"/>
      <c r="S62" s="945"/>
    </row>
    <row r="63" spans="1:21" s="929" customFormat="1">
      <c r="A63" s="946" t="s">
        <v>339</v>
      </c>
      <c r="B63" s="947">
        <v>2</v>
      </c>
      <c r="C63" s="948">
        <v>1</v>
      </c>
      <c r="D63" s="941">
        <f>10*LOG(C63)+30+B63</f>
        <v>32</v>
      </c>
      <c r="E63" s="949"/>
      <c r="F63" s="949"/>
      <c r="G63" s="949"/>
      <c r="H63" s="949"/>
      <c r="I63" s="949"/>
      <c r="J63" s="949"/>
    </row>
    <row r="65" spans="3:3">
      <c r="C65" s="241"/>
    </row>
    <row r="66" spans="3:3">
      <c r="C66" s="241"/>
    </row>
    <row r="67" spans="3:3">
      <c r="C67" s="241"/>
    </row>
    <row r="68" spans="3:3">
      <c r="C68" s="241"/>
    </row>
    <row r="69" spans="3:3">
      <c r="C69" s="241"/>
    </row>
    <row r="70" spans="3:3">
      <c r="C70" s="241"/>
    </row>
  </sheetData>
  <mergeCells count="12">
    <mergeCell ref="A3:J3"/>
    <mergeCell ref="A4:J4"/>
    <mergeCell ref="E63:J63"/>
    <mergeCell ref="E60:J60"/>
    <mergeCell ref="E61:J61"/>
    <mergeCell ref="E56:J56"/>
    <mergeCell ref="E55:J55"/>
    <mergeCell ref="E57:J57"/>
    <mergeCell ref="E59:J59"/>
    <mergeCell ref="E58:J58"/>
    <mergeCell ref="E62:J62"/>
    <mergeCell ref="A54:J54"/>
  </mergeCells>
  <dataValidations xWindow="450" yWindow="283" count="14">
    <dataValidation type="decimal" operator="greaterThan" allowBlank="1" showInputMessage="1" showErrorMessage="1" error="Value must be &gt; - 10" sqref="AC7:AC18 Y7:Y18 AA27:AA41 AH27:AH41">
      <formula1>-10</formula1>
    </dataValidation>
    <dataValidation type="list" allowBlank="1" showInputMessage="1" showErrorMessage="1" sqref="C22:J23">
      <formula1>"1,2"</formula1>
    </dataValidation>
    <dataValidation type="list" allowBlank="1" showInputMessage="1" showErrorMessage="1" sqref="B2">
      <formula1>"WiMAX/ 802.16,LTE,CDMA 2000,HSPA+,EDGE,UMTS,802.11,802.15, etc.,Example"</formula1>
    </dataValidation>
    <dataValidation type="list" allowBlank="1" showInputMessage="1" showErrorMessage="1" sqref="C19:J19">
      <formula1>$A$56:$A$63</formula1>
    </dataValidation>
    <dataValidation type="list" allowBlank="1" showInputMessage="1" showErrorMessage="1" sqref="B7">
      <formula1>"TDD,FDD,HD-FDD"</formula1>
    </dataValidation>
    <dataValidation type="list" allowBlank="1" showInputMessage="1" showErrorMessage="1" sqref="B8">
      <formula1>"Yes,No,""n/a"""</formula1>
    </dataValidation>
    <dataValidation type="decimal" operator="greaterThanOrEqual" allowBlank="1" showInputMessage="1" showErrorMessage="1" sqref="B9:B10">
      <formula1>1</formula1>
    </dataValidation>
    <dataValidation type="decimal" operator="greaterThanOrEqual" allowBlank="1" showInputMessage="1" showErrorMessage="1" sqref="H7 E7:E8">
      <formula1>0.001</formula1>
    </dataValidation>
    <dataValidation type="decimal" allowBlank="1" showInputMessage="1" showErrorMessage="1" sqref="C11">
      <formula1>700</formula1>
      <formula2>6000</formula2>
    </dataValidation>
    <dataValidation type="list" allowBlank="1" showInputMessage="1" showErrorMessage="1" sqref="C17:C18">
      <formula1>"Yes,No"</formula1>
    </dataValidation>
    <dataValidation type="list" allowBlank="1" showInputMessage="1" showErrorMessage="1" sqref="C14:C15">
      <formula1>"1,2,4"</formula1>
    </dataValidation>
    <dataValidation type="list" allowBlank="1" showInputMessage="1" showErrorMessage="1" sqref="V4:V18 Z4:Z18">
      <formula1>"n/a,BPSK,QPSK,16QAM,64QAM,256QAM"</formula1>
    </dataValidation>
    <dataValidation type="list" allowBlank="1" showInputMessage="1" showErrorMessage="1" sqref="X4:X18 AB4:AB18">
      <formula1>"n/a,1,2,3,4,5,6,7,8"</formula1>
    </dataValidation>
    <dataValidation type="decimal" operator="lessThanOrEqual" allowBlank="1" showInputMessage="1" showErrorMessage="1" prompt="Enter decima; or fraction less than 1" sqref="W4:W18 AA4:AA18">
      <formula1>1</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dimension ref="A1:L64"/>
  <sheetViews>
    <sheetView topLeftCell="D1" zoomScale="90" zoomScaleNormal="90" workbookViewId="0">
      <selection activeCell="A2" sqref="A2"/>
    </sheetView>
  </sheetViews>
  <sheetFormatPr defaultRowHeight="15"/>
  <cols>
    <col min="1" max="1" width="40.7109375" customWidth="1"/>
    <col min="2" max="2" width="12.28515625" customWidth="1"/>
    <col min="3" max="3" width="12.42578125" customWidth="1"/>
    <col min="4" max="4" width="50.7109375" customWidth="1"/>
    <col min="5" max="9" width="11.7109375" customWidth="1"/>
    <col min="10" max="10" width="26.42578125" customWidth="1"/>
  </cols>
  <sheetData>
    <row r="1" spans="1:12" ht="18.75">
      <c r="A1" s="194" t="s">
        <v>231</v>
      </c>
      <c r="E1" s="649"/>
      <c r="F1" s="649"/>
    </row>
    <row r="2" spans="1:12" ht="23.25">
      <c r="A2" s="90" t="s">
        <v>322</v>
      </c>
      <c r="B2" s="81"/>
      <c r="C2" s="81"/>
      <c r="D2" s="733" t="s">
        <v>565</v>
      </c>
      <c r="E2" s="734"/>
      <c r="F2" s="727"/>
      <c r="G2" s="728"/>
      <c r="H2" s="729"/>
      <c r="I2" s="730"/>
      <c r="J2" s="731"/>
    </row>
    <row r="3" spans="1:12" ht="23.25">
      <c r="A3" s="900" t="s">
        <v>230</v>
      </c>
      <c r="B3" s="901"/>
      <c r="C3" s="901"/>
      <c r="D3" s="732" t="s">
        <v>566</v>
      </c>
      <c r="E3" s="893" t="str">
        <f>'A-Model-Area-Demographics'!G41</f>
        <v>Rural</v>
      </c>
      <c r="F3" s="894"/>
      <c r="G3" s="735"/>
      <c r="H3" s="725"/>
      <c r="I3" s="725"/>
      <c r="J3" s="726"/>
    </row>
    <row r="4" spans="1:12" ht="32.25" customHeight="1">
      <c r="A4" s="652" t="s">
        <v>528</v>
      </c>
      <c r="B4" s="650" t="s">
        <v>526</v>
      </c>
      <c r="C4" s="651" t="s">
        <v>527</v>
      </c>
      <c r="D4" s="722" t="s">
        <v>564</v>
      </c>
      <c r="E4" s="723" t="str">
        <f>'A-Model-Area-Demographics'!H71</f>
        <v>Type B</v>
      </c>
      <c r="F4" s="723" t="str">
        <f>'A-Model-Area-Demographics'!H70</f>
        <v>Rural</v>
      </c>
      <c r="G4" s="724" t="str">
        <f>F4</f>
        <v>Rural</v>
      </c>
      <c r="H4" s="724" t="str">
        <f>G4</f>
        <v>Rural</v>
      </c>
      <c r="I4" s="724" t="str">
        <f>H4</f>
        <v>Rural</v>
      </c>
      <c r="J4" s="419"/>
    </row>
    <row r="5" spans="1:12" ht="78.75" customHeight="1">
      <c r="A5" s="411" t="s">
        <v>519</v>
      </c>
      <c r="B5" s="736" t="s">
        <v>284</v>
      </c>
      <c r="C5" s="862">
        <f>HLOOKUP($B$5,'B-Wireless-Input-System Gain'!$C$50:$J$53,4,FALSE)</f>
        <v>2.0102999566398125</v>
      </c>
      <c r="D5" s="902" t="s">
        <v>438</v>
      </c>
      <c r="E5" s="903"/>
      <c r="F5" s="903"/>
      <c r="G5" s="903"/>
      <c r="H5" s="903"/>
      <c r="I5" s="903"/>
      <c r="J5" s="904"/>
    </row>
    <row r="6" spans="1:12" ht="15.75" customHeight="1">
      <c r="A6" s="411" t="s">
        <v>328</v>
      </c>
      <c r="B6" s="363" t="s">
        <v>631</v>
      </c>
      <c r="C6" s="412"/>
      <c r="D6" s="905"/>
      <c r="E6" s="906"/>
      <c r="F6" s="906"/>
      <c r="G6" s="906"/>
      <c r="H6" s="906"/>
      <c r="I6" s="906"/>
      <c r="J6" s="907"/>
    </row>
    <row r="7" spans="1:12" ht="15" customHeight="1">
      <c r="A7" s="411" t="s">
        <v>499</v>
      </c>
      <c r="B7" s="582" t="str">
        <f>'B-Wireless-Input-System Gain'!B7</f>
        <v>TDD</v>
      </c>
      <c r="C7" s="412"/>
      <c r="D7" s="788" t="s">
        <v>613</v>
      </c>
      <c r="E7" s="786"/>
      <c r="F7" s="786"/>
      <c r="G7" s="786"/>
      <c r="H7" s="786"/>
      <c r="I7" s="786"/>
      <c r="J7" s="787"/>
    </row>
    <row r="8" spans="1:12" ht="32.25">
      <c r="A8" s="253" t="s">
        <v>274</v>
      </c>
      <c r="B8" s="843">
        <f>'B-Wireless-Input-System Gain'!C11</f>
        <v>2450</v>
      </c>
      <c r="C8" s="328"/>
      <c r="D8" s="362" t="s">
        <v>23</v>
      </c>
      <c r="E8" s="368" t="s">
        <v>180</v>
      </c>
      <c r="F8" s="369" t="s">
        <v>30</v>
      </c>
      <c r="G8" s="369" t="s">
        <v>197</v>
      </c>
      <c r="H8" s="369" t="s">
        <v>58</v>
      </c>
      <c r="I8" s="369" t="s">
        <v>239</v>
      </c>
      <c r="J8" s="9"/>
    </row>
    <row r="9" spans="1:12" ht="31.5" customHeight="1">
      <c r="A9" s="253" t="s">
        <v>487</v>
      </c>
      <c r="B9" s="671">
        <v>0.5</v>
      </c>
      <c r="C9" s="329" t="s">
        <v>195</v>
      </c>
      <c r="D9" s="693" t="s">
        <v>178</v>
      </c>
      <c r="E9" s="694" t="str">
        <f>E4</f>
        <v>Type B</v>
      </c>
      <c r="F9" s="694" t="str">
        <f>IF(F4=E48,E48,IF(F4=E49,E49,IF(F4=E50,E50,"n/a")))</f>
        <v>n/a</v>
      </c>
      <c r="G9" s="694" t="str">
        <f>IF(G4=E51,E51,IF(G4=E52,E52,"n/a"))</f>
        <v>n/a</v>
      </c>
      <c r="H9" s="694" t="str">
        <f>IF(H4=E53,E53,IF(H4=E54,E54,IF(H4=E55,E55,"n/a")))</f>
        <v>n/a</v>
      </c>
      <c r="I9" s="694" t="str">
        <f>IF(AND($I$4="Large City Urban",$B$18=10),$E$59,IF($I$4="Large City Urban",E56,IF(I4="Small City Urban",E57,IF(I4="Suburban",E58,IF(I4="Rural",E60,"n/a")))))</f>
        <v>Rural</v>
      </c>
      <c r="J9" s="695" t="s">
        <v>198</v>
      </c>
    </row>
    <row r="10" spans="1:12">
      <c r="A10" s="253" t="s">
        <v>488</v>
      </c>
      <c r="B10" s="672">
        <v>0.5</v>
      </c>
      <c r="C10" s="329" t="s">
        <v>195</v>
      </c>
      <c r="D10" s="156" t="s">
        <v>181</v>
      </c>
      <c r="E10" s="839">
        <f>IF(E9="n/a","",HLOOKUP(E$9,'3-SNR-Chan SE vs Range'!$B$7:$I$9,3,FALSE))</f>
        <v>116.99940008672039</v>
      </c>
      <c r="F10" s="839" t="str">
        <f>IF(F9="n/a","",HLOOKUP(F$9,'3-SNR-Chan SE vs Range'!$B$7:$I$9,3,FALSE))</f>
        <v/>
      </c>
      <c r="G10" s="839" t="str">
        <f>IF(G9="n/a","",HLOOKUP(G$9,'3-SNR-Chan SE vs Range'!$B$7:$I$9,3,FALSE))</f>
        <v/>
      </c>
      <c r="H10" s="839" t="str">
        <f>IF(H9="n/a","",HLOOKUP(H$9,'3-SNR-Chan SE vs Range'!$B$7:$I$9,3,FALSE))</f>
        <v/>
      </c>
      <c r="I10" s="839">
        <f>IF(I9="n/a","",HLOOKUP(I$9,'3-SNR-Chan SE vs Range'!$B$7:$I$9,3,FALSE))</f>
        <v>116.99940008672039</v>
      </c>
      <c r="J10" s="9"/>
    </row>
    <row r="11" spans="1:12" ht="14.25" customHeight="1">
      <c r="A11" s="79" t="str">
        <f>IF($C$22="DL","Resulting DL Cell Edge SNR =","Resulting UL Cell Edge SNR =")</f>
        <v>Resulting UL Cell Edge SNR =</v>
      </c>
      <c r="B11" s="840">
        <f>IF($C$22="UL",HLOOKUP($B$5,'B-Wireless-Input-System Gain'!$M$19:$T$52,30,FALSE),$C$5+HLOOKUP($B$5,'B-Wireless-Input-System Gain'!$M$19:$T$52,30,FALSE))</f>
        <v>-4.3</v>
      </c>
      <c r="C11" s="329"/>
      <c r="D11" s="156" t="s">
        <v>179</v>
      </c>
      <c r="E11" s="247">
        <f>IF(E9="n/a","n/a",HLOOKUP(E$9,'3-SNR-Chan SE vs Range'!$B$11:$I$33,2,FALSE))</f>
        <v>0.35291948129038198</v>
      </c>
      <c r="F11" s="247" t="str">
        <f>IF(F9="n/a","n/a",HLOOKUP(F$9,'3-SNR-Chan SE vs Range'!$B$11:$I$33,4,FALSE))</f>
        <v>n/a</v>
      </c>
      <c r="G11" s="247" t="str">
        <f>IF(G9="n/a","n/a",HLOOKUP(G$9,'3-SNR-Chan SE vs Range'!$B$11:$I$33,5,FALSE))</f>
        <v>n/a</v>
      </c>
      <c r="H11" s="247" t="str">
        <f>IF(H9="n/a","n/a",HLOOKUP(H$9,'3-SNR-Chan SE vs Range'!$B$11:$I$33,6,FALSE))</f>
        <v>n/a</v>
      </c>
      <c r="I11" s="271" t="str">
        <f>IF($I$9="Urban Micro-Cell",'1-Range_Estimator'!$B$19,IF($I$9="Large City Urban",'3-SNR-Chan SE vs Range'!$B$17,IF($I$9="Small City Urban",'3-SNR-Chan SE vs Range'!$C$17,IF($I$9="Suburban",'3-SNR-Chan SE vs Range'!$D$17,IF($I$9="Rural",'3-SNR-Chan SE vs Range'!$E$17,"n/a")))))</f>
        <v>n/a</v>
      </c>
      <c r="J11" s="9" t="s">
        <v>171</v>
      </c>
      <c r="K11" s="97"/>
      <c r="L11" s="271"/>
    </row>
    <row r="12" spans="1:12" ht="14.25" customHeight="1">
      <c r="A12" s="246" t="s">
        <v>273</v>
      </c>
      <c r="B12" s="840">
        <f>HLOOKUP($B$5,'B-Wireless-Input-System Gain'!$C$19:$J$52,34,FALSE)</f>
        <v>133.27940008672039</v>
      </c>
      <c r="C12" s="329"/>
      <c r="D12" s="240" t="s">
        <v>241</v>
      </c>
      <c r="E12" s="241">
        <f>IF(E$11="n/a","",(3*3^0.5/2)*(E11^2))</f>
        <v>0.32359600468125227</v>
      </c>
      <c r="F12" s="241" t="str">
        <f>IF(F$11="n/a","",(3*3^0.5/2)*(F11^2))</f>
        <v/>
      </c>
      <c r="G12" s="241" t="str">
        <f>IF(G$11="n/a","",(3*3^0.5/2)*(G11^2))</f>
        <v/>
      </c>
      <c r="H12" s="241" t="str">
        <f>IF(H$11="n/a","",(3*3^0.5/2)*(H11^2))</f>
        <v/>
      </c>
      <c r="I12" s="241" t="str">
        <f>IF(I$11="n/a","",(3*3^0.5/2)*(I11^2))</f>
        <v/>
      </c>
      <c r="J12" s="9" t="s">
        <v>196</v>
      </c>
      <c r="K12" s="97"/>
    </row>
    <row r="13" spans="1:12" ht="17.25">
      <c r="A13" s="324" t="str">
        <f>IF(C22="UL","Effective UL Channel BW =","Effective DL Channel BW =")</f>
        <v>Effective UL Channel BW =</v>
      </c>
      <c r="B13" s="844">
        <f>IF(AND(C22="UL",B7="TDD"),'B-Wireless-Input-System Gain'!H10,IF(AND(C22="DL",B7="TDD"),'B-Wireless-Input-System Gain'!E9,IF(C22="UL",'B-Wireless-Input-System Gain'!H7,'B-Wireless-Input-System Gain'!E7)))</f>
        <v>10</v>
      </c>
      <c r="C13" s="330"/>
      <c r="D13" s="156" t="s">
        <v>431</v>
      </c>
      <c r="E13" s="292">
        <f>IF(E$9="Type A",'3-SNR-Chan SE vs Range'!G20,IF(E$9="Type B",'3-SNR-Chan SE vs Range'!H20,IF(E$9="Type C",'3-SNR-Chan SE vs Range'!I20,"n/a")))</f>
        <v>4.4705949571029429</v>
      </c>
      <c r="F13" s="292" t="str">
        <f>IF(F$9="Large City Urban",'3-SNR-Chan SE vs Range'!B22,IF(F$9="Suburban",'3-SNR-Chan SE vs Range'!D22,IF(F$9="Small City Urban",'3-SNR-Chan SE vs Range'!C22,"n/a")))</f>
        <v>n/a</v>
      </c>
      <c r="G13" s="292" t="str">
        <f>IF(G$9="Large City Urban",'3-SNR-Chan SE vs Range'!B23,IF(G$9="Suburban",'3-SNR-Chan SE vs Range'!D23,"n/a"))</f>
        <v>n/a</v>
      </c>
      <c r="H13" s="292" t="str">
        <f>IF(H$9="Large City Urban",'3-SNR-Chan SE vs Range'!B24,IF(H$9="Suburban",'3-SNR-Chan SE vs Range'!D24,IF(H$9="Rural Open",'3-SNR-Chan SE vs Range'!F24,"n/a")))</f>
        <v>n/a</v>
      </c>
      <c r="I13" s="292" t="str">
        <f>IF(I$9="Urban Micro-Cell",'3-SNR-Chan SE vs Range'!B26,IF(I$9="Large City Urban",'3-SNR-Chan SE vs Range'!B25,IF(I$9="Small City Urban",'3-SNR-Chan SE vs Range'!C25,IF(I$9="Suburban",'3-SNR-Chan SE vs Range'!D25,IF(I$9="Rural",'3-SNR-Chan SE vs Range'!E25,"n/a")))))</f>
        <v>n/a</v>
      </c>
      <c r="J13" s="398" t="s">
        <v>233</v>
      </c>
    </row>
    <row r="14" spans="1:12">
      <c r="A14" s="517" t="s">
        <v>443</v>
      </c>
      <c r="B14" s="417">
        <v>0.1</v>
      </c>
      <c r="C14" s="330"/>
      <c r="D14" s="240" t="s">
        <v>432</v>
      </c>
      <c r="E14" s="271">
        <f>IF(E11="n/a","",3*E13*$B$13*(1-$B$16))</f>
        <v>65.851863718126339</v>
      </c>
      <c r="F14" s="247" t="str">
        <f>IF(F11="n/a","",3*F13*$B$13*(1-$B$16))</f>
        <v/>
      </c>
      <c r="G14" s="247" t="str">
        <f>IF(G11="n/a","",3*G13*$B$13*(1-$B$16))</f>
        <v/>
      </c>
      <c r="H14" s="247" t="str">
        <f>IF(H11="n/a","",3*H13*$B$13*(1-$B$16))</f>
        <v/>
      </c>
      <c r="I14" s="247" t="str">
        <f>IF(I13="n/a","",3*I13*$B$13*(1-$B$16))</f>
        <v/>
      </c>
      <c r="J14" s="398" t="s">
        <v>233</v>
      </c>
    </row>
    <row r="15" spans="1:12" ht="17.25">
      <c r="A15" s="252" t="s">
        <v>424</v>
      </c>
      <c r="B15" s="417">
        <v>0.1</v>
      </c>
      <c r="C15" s="420" t="s">
        <v>416</v>
      </c>
      <c r="D15" s="156" t="s">
        <v>545</v>
      </c>
      <c r="E15" s="271">
        <f>IF(E11="n/a","",E14*E12)</f>
        <v>21.309399999999997</v>
      </c>
      <c r="F15" s="247" t="str">
        <f>IF(F11="n/a","",F14*F12)</f>
        <v/>
      </c>
      <c r="G15" s="247" t="str">
        <f>IF(G11="n/a","",G14*G12)</f>
        <v/>
      </c>
      <c r="H15" s="247" t="str">
        <f>IF(H11="n/a","",H14*H12)</f>
        <v/>
      </c>
      <c r="I15" s="247" t="str">
        <f>IF(I13="n/a","",I14*I12)</f>
        <v/>
      </c>
      <c r="J15" s="398" t="s">
        <v>195</v>
      </c>
    </row>
    <row r="16" spans="1:12">
      <c r="A16" s="325" t="s">
        <v>436</v>
      </c>
      <c r="B16" s="481">
        <f>B14+B15+IF(B22="UL",'B-Wireless-Input-System Gain'!M25,IF(B22="DL",'B-Wireless-Input-System Gain'!C25))</f>
        <v>0.50900000000000001</v>
      </c>
      <c r="C16" s="482"/>
      <c r="D16" s="240" t="s">
        <v>433</v>
      </c>
      <c r="E16" s="292">
        <f>IF(E11="n/a","",IF($C$25="Mbps/sq-mi",(0.62137^2)*($B$25/(1-$B$16)/$B$13/3),$B$25/(1-$B$16)/$B$13/3))</f>
        <v>4.0532853138362225E-2</v>
      </c>
      <c r="F16" s="247" t="str">
        <f>IF(F11="n/a","",IF($C$25="Mbps/sq-mi",(0.62137^2)*($B$25/(1-$B$16)/$B$13/3),$B$25/(1-$B$16)/$B$13/3))</f>
        <v/>
      </c>
      <c r="G16" s="247" t="str">
        <f>IF(G11="n/a","",IF($C$25="Mbps/sq-mi",(0.62137^2)*($B$25/(1-$B$16)/$B$13/3),$B$25/(1-$B$16)/$B$13/3))</f>
        <v/>
      </c>
      <c r="H16" s="247" t="str">
        <f>IF(H11="n/a","",IF($C$25="Mbps/sq-mi",(0.62137^2)*($B$25/(1-$B$16)/$B$13/3),$B$25/(1-$B$16)/$B$13/3))</f>
        <v/>
      </c>
      <c r="I16" s="247" t="str">
        <f>IF(I13="n/a","",IF($C$25="Mbps/sq-mi",(0.62137^2)*($B$25/(1-$B$16)/$B$13/3),$B$25/(1-$B$16)/$B$13/3))</f>
        <v/>
      </c>
      <c r="J16" s="398" t="s">
        <v>233</v>
      </c>
    </row>
    <row r="17" spans="1:10">
      <c r="A17" s="950" t="s">
        <v>106</v>
      </c>
      <c r="B17" s="951">
        <v>1</v>
      </c>
      <c r="C17" s="930"/>
      <c r="D17" s="240" t="s">
        <v>235</v>
      </c>
      <c r="E17" s="241">
        <f>IF(E11="n/a","",IF(E9="Type A",'3-SNR-Chan SE vs Range'!G28,IF(E9="Type B",'3-SNR-Chan SE vs Range'!H28,IF(E9="Type C",'3-SNR-Chan SE vs Range'!I28))))</f>
        <v>0.35291948129038198</v>
      </c>
      <c r="F17" s="241" t="str">
        <f>IF(F11="n/a","",IF(F9="Large City Urban",'3-SNR-Chan SE vs Range'!B30,IF(F9="Small City Urban",'3-SNR-Chan SE vs Range'!C30,IF(F9="Suburban",'3-SNR-Chan SE vs Range'!D30))))</f>
        <v/>
      </c>
      <c r="G17" s="241" t="str">
        <f>IF(G11="n/a","",IF(G9="Large City Urban",'3-SNR-Chan SE vs Range'!B31,IF(G9="Suburban",'3-SNR-Chan SE vs Range'!D31)))</f>
        <v/>
      </c>
      <c r="H17" s="241" t="str">
        <f>IF(H11="n/a","",IF(H9="Large City Urban",'3-SNR-Chan SE vs Range'!B32,IF(H9="Suburban",'3-SNR-Chan SE vs Range'!D32,IF(H9="Rural Open",'3-SNR-Chan SE vs Range'!F32))))</f>
        <v/>
      </c>
      <c r="I17" s="241" t="str">
        <f>IF(I13="n/a","",IF(I9="Urban Micro-Cell",'3-SNR-Chan SE vs Range'!B34,IF(I9="Large City Urban",'3-SNR-Chan SE vs Range'!B33,IF(I9="Small City Urban",'3-SNR-Chan SE vs Range'!C33,IF(I9="Suburban",'3-SNR-Chan SE vs Range'!D33,IF(I9="Rural",'3-SNR-Chan SE vs Range'!E33))))))</f>
        <v/>
      </c>
      <c r="J17" s="9" t="s">
        <v>171</v>
      </c>
    </row>
    <row r="18" spans="1:10">
      <c r="A18" s="105" t="s">
        <v>280</v>
      </c>
      <c r="B18" s="364">
        <v>7</v>
      </c>
      <c r="C18" s="330" t="s">
        <v>203</v>
      </c>
      <c r="D18" s="240" t="s">
        <v>234</v>
      </c>
      <c r="E18" s="247">
        <f>IF(E11="n/a","",(3*3^0.5/2)*E17^2)</f>
        <v>0.32359600468125227</v>
      </c>
      <c r="F18" s="247" t="str">
        <f>IF(F11="n/a","",(3*3^0.5/2)*F17^2)</f>
        <v/>
      </c>
      <c r="G18" s="247" t="str">
        <f>IF(G11="n/a","",(3*3^0.5/2)*G17^2)</f>
        <v/>
      </c>
      <c r="H18" s="247" t="str">
        <f>IF(H11="n/a","",(3*3^0.5/2)*H17^2)</f>
        <v/>
      </c>
      <c r="I18" s="247" t="str">
        <f>IF(I13="n/a","",(3*3^0.5/2)*I17^2)</f>
        <v/>
      </c>
      <c r="J18" s="9" t="s">
        <v>196</v>
      </c>
    </row>
    <row r="19" spans="1:10">
      <c r="A19" s="105" t="s">
        <v>279</v>
      </c>
      <c r="B19" s="364">
        <v>2</v>
      </c>
      <c r="C19" s="330" t="s">
        <v>203</v>
      </c>
      <c r="D19" s="240" t="s">
        <v>430</v>
      </c>
      <c r="E19" s="705">
        <f>IF(E13="n/a","",IF(E16&lt;E13,E15/3,(E16*$B$13*(1-$B$16))*E18))</f>
        <v>7.1031333333333322</v>
      </c>
      <c r="F19" s="705" t="str">
        <f>IF(F13="n/a","",IF(F16&lt;F13,F15/3,(F16*$B$13*(1-$B$16))*F18))</f>
        <v/>
      </c>
      <c r="G19" s="705" t="str">
        <f>IF(G13="n/a","",IF(G16&lt;G13,G15/3,(G16*$B$13*(1-$B$16))*G18))</f>
        <v/>
      </c>
      <c r="H19" s="705" t="str">
        <f>IF(H13="n/a","",IF(H16&lt;H13,H15/3,(H16*$B$13*(1-$B$16))*H18))</f>
        <v/>
      </c>
      <c r="I19" s="705" t="str">
        <f>IF(I13="n/a","",IF(I16&lt;I13,I15/3,(I16*$B$13*(1-$B$16))*I18))</f>
        <v/>
      </c>
      <c r="J19" s="9" t="s">
        <v>539</v>
      </c>
    </row>
    <row r="20" spans="1:10" ht="18.75">
      <c r="A20" s="105" t="s">
        <v>278</v>
      </c>
      <c r="B20" s="365" t="s">
        <v>24</v>
      </c>
      <c r="C20" s="331"/>
      <c r="D20" s="785" t="s">
        <v>594</v>
      </c>
      <c r="E20" s="749"/>
      <c r="F20" s="749"/>
      <c r="G20" s="749"/>
      <c r="H20" s="749"/>
      <c r="I20" s="749"/>
      <c r="J20" s="750"/>
    </row>
    <row r="21" spans="1:10" ht="18.75">
      <c r="A21" s="324" t="s">
        <v>260</v>
      </c>
      <c r="B21" s="366">
        <v>0.9</v>
      </c>
      <c r="C21" s="9"/>
      <c r="D21" s="692" t="s">
        <v>582</v>
      </c>
      <c r="E21" s="357">
        <f>IF(E13="n/a","",IF($C$23="sq-km",ROUNDUP($B$23/E$18,0),IF($C$23="sq-mi",ROUNDUP($B$23*1.609344^2/E$18,0),IF($C$23="Acres",ROUNDUP($B$23*0.0040469/E$18,0)))))</f>
        <v>81</v>
      </c>
      <c r="F21" s="357" t="str">
        <f>IF(F13="n/a","",IF($C$23="sq-km",ROUNDUP($B$23/F$18,0),IF($C$23="sq-mi",ROUNDUP($B$23*1.609344^2/F$18,0),IF($C$23="Acres",ROUNDUP($B$23*0.0040469/F$18,0)))))</f>
        <v/>
      </c>
      <c r="G21" s="357" t="str">
        <f>IF(G13="n/a","",IF($C$23="sq-km",ROUNDUP($B$23/G$18,0),IF($C$23="sq-mi",ROUNDUP($B$23*1.609344^2/G$18,0),IF($C$23="Acres",ROUNDUP($B$23*0.0040469/G$18,0)))))</f>
        <v/>
      </c>
      <c r="H21" s="357" t="str">
        <f>IF(H13="n/a","",IF($C$23="sq-km",ROUNDUP($B$23/H$18,0),IF($C$23="sq-mi",ROUNDUP($B$23*1.609344^2/H$18,0),IF($C$23="Acres",ROUNDUP($B$23*0.0040469/H$18,0)))))</f>
        <v/>
      </c>
      <c r="I21" s="357" t="str">
        <f>IF(I13="n/a","",IF($C$23="sq-km",ROUNDUP($B$23/I$18,0),IF($C$23="sq-mi",ROUNDUP($B$23*1.609344^2/I$18,0),IF($C$23="Acres",ROUNDUP($B$23*0.0040469/I$18,0)))))</f>
        <v/>
      </c>
      <c r="J21" s="751" t="s">
        <v>597</v>
      </c>
    </row>
    <row r="22" spans="1:10" ht="19.5" customHeight="1">
      <c r="A22" s="324" t="s">
        <v>482</v>
      </c>
      <c r="B22" s="580" t="str">
        <f>C22</f>
        <v>UL</v>
      </c>
      <c r="C22" s="738" t="str">
        <f>IF((B29/B28)&gt;1,"UL","DL")</f>
        <v>UL</v>
      </c>
      <c r="D22" s="768" t="s">
        <v>529</v>
      </c>
      <c r="E22" s="769">
        <f>IF(E13="n/a","",ROUNDUP('A-Model-Area-Demographics'!$G$59/'C-SG Ntwrk-Input-BS-Output '!E21/3,0))</f>
        <v>6</v>
      </c>
      <c r="F22" s="769" t="str">
        <f>IF(F13="n/a","",ROUNDUP('A-Model-Area-Demographics'!$G$59/'C-SG Ntwrk-Input-BS-Output '!F21/3,0))</f>
        <v/>
      </c>
      <c r="G22" s="769" t="str">
        <f>IF(G13="n/a","",ROUNDUP('A-Model-Area-Demographics'!$G$59/'C-SG Ntwrk-Input-BS-Output '!G21/3,0))</f>
        <v/>
      </c>
      <c r="H22" s="769" t="str">
        <f>IF(H13="n/a","",ROUNDUP('A-Model-Area-Demographics'!$G$59/'C-SG Ntwrk-Input-BS-Output '!H21/3,0))</f>
        <v/>
      </c>
      <c r="I22" s="769" t="str">
        <f>IF(I13="n/a","",ROUNDUP('A-Model-Area-Demographics'!$G$59/'C-SG Ntwrk-Input-BS-Output '!I21/3,0))</f>
        <v/>
      </c>
      <c r="J22" s="760" t="s">
        <v>587</v>
      </c>
    </row>
    <row r="23" spans="1:10" ht="39" customHeight="1">
      <c r="A23" s="326" t="s">
        <v>493</v>
      </c>
      <c r="B23" s="647">
        <f>'A-Model-Area-Demographics'!H68</f>
        <v>10</v>
      </c>
      <c r="C23" s="480" t="str">
        <f>'A-Model-Area-Demographics'!K68</f>
        <v>sq-mi</v>
      </c>
      <c r="D23" s="765" t="s">
        <v>540</v>
      </c>
      <c r="E23" s="766">
        <f>IF(E22="","", '4-Latency Analysis'!B12)</f>
        <v>28340</v>
      </c>
      <c r="F23" s="766" t="str">
        <f>IF(F22="","",2*'4-Latency Analysis'!D12)</f>
        <v/>
      </c>
      <c r="G23" s="766" t="str">
        <f>IF(G22="","",'4-Latency Analysis'!F12)</f>
        <v/>
      </c>
      <c r="H23" s="766" t="str">
        <f>IF(H22="","",'4-Latency Analysis'!H12)</f>
        <v/>
      </c>
      <c r="I23" s="766" t="str">
        <f>IF(I22="","",'4-Latency Analysis'!J12)</f>
        <v/>
      </c>
      <c r="J23" s="767" t="s">
        <v>587</v>
      </c>
    </row>
    <row r="24" spans="1:10" ht="37.5" customHeight="1">
      <c r="A24" s="422" t="s">
        <v>429</v>
      </c>
      <c r="B24" s="704">
        <f>IF(C22="UL",'A-Model-Area-Demographics'!H69,'A-Model-Area-Demographics'!J69)</f>
        <v>0.19329444444444446</v>
      </c>
      <c r="C24" s="747" t="str">
        <f>'A-Model-Area-Demographics'!K69</f>
        <v>MB/Sec/sq-mi</v>
      </c>
      <c r="D24" s="746" t="s">
        <v>581</v>
      </c>
      <c r="E24" s="752">
        <f>IF(E22="","",IF(E22/E23&gt;1,ROUNDUP(E21*E22/E23,0)-E21,0))</f>
        <v>0</v>
      </c>
      <c r="F24" s="752" t="str">
        <f>IF(F22="","",IF(F22/F23&gt;1,ROUNDUP(F21*F22/F23,0)-F21,0))</f>
        <v/>
      </c>
      <c r="G24" s="752" t="str">
        <f>IF(G22="","",IF(G22/G23&gt;1,ROUNDUP(G21*G22/G23,0)-G21,0))</f>
        <v/>
      </c>
      <c r="H24" s="752" t="str">
        <f>IF(H22="","",IF(H22/H23&gt;1,ROUNDUP(H21*H22/H23,0)-H21,0))</f>
        <v/>
      </c>
      <c r="I24" s="752" t="str">
        <f>IF(I22="","",IF(I22/I23&gt;1,ROUNDUP(I21*I22/I23,0)-I21,0))</f>
        <v/>
      </c>
      <c r="J24" s="753" t="s">
        <v>612</v>
      </c>
    </row>
    <row r="25" spans="1:10" ht="37.5" customHeight="1">
      <c r="A25" s="422" t="s">
        <v>584</v>
      </c>
      <c r="B25" s="421">
        <f>8*B24</f>
        <v>1.5463555555555557</v>
      </c>
      <c r="C25" s="332" t="str">
        <f>IF(C23="sq-km","Mbps/sq-km","Mbps/sq-mi")</f>
        <v>Mbps/sq-mi</v>
      </c>
      <c r="D25" s="770" t="s">
        <v>588</v>
      </c>
      <c r="E25" s="771">
        <f>IF(E24="","",E24+E21)</f>
        <v>81</v>
      </c>
      <c r="F25" s="771" t="str">
        <f>IF(F24="","",F24+F21)</f>
        <v/>
      </c>
      <c r="G25" s="771" t="str">
        <f>IF(G24="","",G24+G21)</f>
        <v/>
      </c>
      <c r="H25" s="771" t="str">
        <f>IF(H24="","",H24+H21)</f>
        <v/>
      </c>
      <c r="I25" s="771" t="str">
        <f>IF(I24="","",I24+I21)</f>
        <v/>
      </c>
      <c r="J25" s="772" t="s">
        <v>589</v>
      </c>
    </row>
    <row r="26" spans="1:10" ht="17.25" customHeight="1">
      <c r="A26" s="327" t="str">
        <f>IF(C22="UL","Average UL Spectrum Used =","Average DL Spectrum Used =")</f>
        <v>Average UL Spectrum Used =</v>
      </c>
      <c r="B26" s="845">
        <f>IF(B7="TDD",B17*'B-Wireless-Input-System Gain'!E8/2,$B$13*$B$17)</f>
        <v>10</v>
      </c>
      <c r="C26" s="858"/>
      <c r="D26" s="691" t="s">
        <v>590</v>
      </c>
      <c r="E26" s="755">
        <f>$B$23/E25</f>
        <v>0.12345679012345678</v>
      </c>
      <c r="F26" s="782"/>
      <c r="G26" s="783"/>
      <c r="H26" s="783"/>
      <c r="I26" s="755" t="e">
        <f>$B$23/I25</f>
        <v>#VALUE!</v>
      </c>
      <c r="J26" s="756" t="str">
        <f>C23</f>
        <v>sq-mi</v>
      </c>
    </row>
    <row r="27" spans="1:10" ht="18.75" customHeight="1">
      <c r="A27" s="327" t="s">
        <v>460</v>
      </c>
      <c r="B27" s="840">
        <f>HLOOKUP($B$5,'B-Wireless-Input-System Gain'!$C$19:$J$53,35,FALSE)</f>
        <v>2.0102999566398125</v>
      </c>
      <c r="C27" s="754"/>
      <c r="D27" s="757" t="s">
        <v>586</v>
      </c>
      <c r="E27" s="758">
        <f>IF(E25="","",(3^0.5)*(2*E26/(3*3^0.5))^0.5)</f>
        <v>0.37756538774380499</v>
      </c>
      <c r="F27" s="758" t="str">
        <f t="shared" ref="F27:I27" si="0">IF(F25="","",(3^0.5)*(2*F26/(3*3^0.5))^0.5)</f>
        <v/>
      </c>
      <c r="G27" s="758" t="str">
        <f t="shared" si="0"/>
        <v/>
      </c>
      <c r="H27" s="758" t="str">
        <f t="shared" si="0"/>
        <v/>
      </c>
      <c r="I27" s="758" t="str">
        <f t="shared" si="0"/>
        <v/>
      </c>
      <c r="J27" s="759" t="str">
        <f>IF(J26="sq-mi","mi","km")</f>
        <v>mi</v>
      </c>
    </row>
    <row r="28" spans="1:10" ht="19.5" customHeight="1">
      <c r="A28" s="327" t="s">
        <v>484</v>
      </c>
      <c r="B28" s="648">
        <f>'A-Model-Area-Demographics'!J69/'A-Model-Area-Demographics'!H69</f>
        <v>1</v>
      </c>
      <c r="C28" s="579"/>
      <c r="D28" s="691" t="s">
        <v>591</v>
      </c>
      <c r="E28" s="784">
        <f>IF(E13="n/a","",3*E19)</f>
        <v>21.309399999999997</v>
      </c>
      <c r="F28" s="784" t="str">
        <f>IF(F13="n/a","",3*F19)</f>
        <v/>
      </c>
      <c r="G28" s="784" t="str">
        <f>IF(G13="n/a","",3*G19)</f>
        <v/>
      </c>
      <c r="H28" s="784" t="str">
        <f>IF(H13="n/a","",3*H19)</f>
        <v/>
      </c>
      <c r="I28" s="784" t="str">
        <f>IF(I13="n/a","",3*I19)</f>
        <v/>
      </c>
      <c r="J28" s="760" t="s">
        <v>538</v>
      </c>
    </row>
    <row r="29" spans="1:10" ht="18.75" customHeight="1">
      <c r="A29" s="327" t="s">
        <v>483</v>
      </c>
      <c r="B29" s="547">
        <f>'B-Wireless-Input-System Gain'!AG47/'B-Wireless-Input-System Gain'!Z47</f>
        <v>1.0396573455954439</v>
      </c>
      <c r="C29" s="579"/>
      <c r="D29" s="692" t="s">
        <v>592</v>
      </c>
      <c r="E29" s="748">
        <f>IF(E13="n/a","",E28/$B$26)</f>
        <v>2.1309399999999998</v>
      </c>
      <c r="F29" s="748" t="str">
        <f>IF(F13="n/a","",F28/$B$26)</f>
        <v/>
      </c>
      <c r="G29" s="748" t="str">
        <f>IF(G13="n/a","",G28/$B$26)</f>
        <v/>
      </c>
      <c r="H29" s="748" t="str">
        <f>IF(H13="n/a","",H28/$B$26)</f>
        <v/>
      </c>
      <c r="I29" s="748" t="str">
        <f>IF(I13="n/a","",I28/$B$26)</f>
        <v/>
      </c>
      <c r="J29" s="751" t="s">
        <v>236</v>
      </c>
    </row>
    <row r="30" spans="1:10" ht="38.25" customHeight="1">
      <c r="A30" s="890" t="s">
        <v>330</v>
      </c>
      <c r="B30" s="891"/>
      <c r="C30" s="892"/>
      <c r="D30" s="757" t="s">
        <v>596</v>
      </c>
      <c r="E30" s="764">
        <f>IF(E29="","",((E21*E28/8/$B$23)-$B$24)/$B$24)</f>
        <v>110.62124996407321</v>
      </c>
      <c r="F30" s="764" t="str">
        <f t="shared" ref="F30:I30" si="1">IF(F29="","",((F21*F28/8/$B$23)-$B$24)/$B$24)</f>
        <v/>
      </c>
      <c r="G30" s="764" t="str">
        <f t="shared" si="1"/>
        <v/>
      </c>
      <c r="H30" s="764" t="str">
        <f t="shared" si="1"/>
        <v/>
      </c>
      <c r="I30" s="764" t="str">
        <f t="shared" si="1"/>
        <v/>
      </c>
      <c r="J30" s="761" t="s">
        <v>595</v>
      </c>
    </row>
    <row r="31" spans="1:10" ht="17.25" customHeight="1">
      <c r="A31" s="270" t="s">
        <v>205</v>
      </c>
      <c r="B31" s="367">
        <v>30</v>
      </c>
      <c r="C31" s="155" t="s">
        <v>14</v>
      </c>
      <c r="D31" s="762" t="s">
        <v>593</v>
      </c>
      <c r="E31" s="781" t="str">
        <f>IF(E13="n/a","",IF(E22&gt;E23,"Latency",IF(AND(E16&gt;E13,E22&lt;E23),"Capacity","Range")))</f>
        <v>Range</v>
      </c>
      <c r="F31" s="781" t="str">
        <f>IF(F13="n/a","",IF(F22&gt;F23,"Latency",IF(AND(F16&gt;F13,F22&lt;F23),"Capacity","Range")))</f>
        <v/>
      </c>
      <c r="G31" s="781" t="str">
        <f>IF(G13="n/a","",IF(G22&gt;G23,"Latency",IF(AND(G16&gt;G13,G22&lt;G23),"Capacity","Range")))</f>
        <v/>
      </c>
      <c r="H31" s="781" t="str">
        <f>IF(H13="n/a","",IF(H22&gt;H23,"Latency",IF(AND(H16&gt;H13,H22&lt;H23),"Capacity","Range")))</f>
        <v/>
      </c>
      <c r="I31" s="781" t="str">
        <f>IF(I13="n/a","",IF(I22&gt;I23,"Latency",IF(AND(I16&gt;I13,I22&lt;I23),"Capacity","Range")))</f>
        <v/>
      </c>
      <c r="J31" s="763"/>
    </row>
    <row r="32" spans="1:10" ht="15" customHeight="1">
      <c r="A32" s="269" t="s">
        <v>214</v>
      </c>
      <c r="B32" s="367">
        <v>20</v>
      </c>
      <c r="C32" s="21" t="s">
        <v>14</v>
      </c>
      <c r="D32" s="423" t="s">
        <v>246</v>
      </c>
      <c r="E32" s="418"/>
      <c r="F32" s="418"/>
      <c r="G32" s="418"/>
      <c r="H32" s="418"/>
      <c r="I32" s="418"/>
      <c r="J32" s="424"/>
    </row>
    <row r="33" spans="1:10">
      <c r="A33" s="270" t="s">
        <v>204</v>
      </c>
      <c r="B33" s="367">
        <v>20</v>
      </c>
      <c r="C33" s="21" t="s">
        <v>14</v>
      </c>
      <c r="D33" s="911" t="s">
        <v>240</v>
      </c>
      <c r="E33" s="912"/>
      <c r="F33" s="912"/>
      <c r="G33" s="912"/>
      <c r="H33" s="912"/>
      <c r="I33" s="912"/>
      <c r="J33" s="913"/>
    </row>
    <row r="34" spans="1:10">
      <c r="A34" s="269" t="s">
        <v>215</v>
      </c>
      <c r="B34" s="367">
        <v>20</v>
      </c>
      <c r="C34" s="21" t="s">
        <v>14</v>
      </c>
      <c r="D34" s="915" t="s">
        <v>323</v>
      </c>
      <c r="E34" s="909"/>
      <c r="F34" s="909"/>
      <c r="G34" s="909"/>
      <c r="H34" s="909"/>
      <c r="I34" s="909"/>
      <c r="J34" s="910"/>
    </row>
    <row r="35" spans="1:10">
      <c r="A35" s="270" t="s">
        <v>206</v>
      </c>
      <c r="B35" s="367">
        <v>10</v>
      </c>
      <c r="C35" s="21" t="s">
        <v>14</v>
      </c>
      <c r="D35" s="916" t="s">
        <v>546</v>
      </c>
      <c r="E35" s="909"/>
      <c r="F35" s="909"/>
      <c r="G35" s="909"/>
      <c r="H35" s="909"/>
      <c r="I35" s="909"/>
      <c r="J35" s="910"/>
    </row>
    <row r="36" spans="1:10">
      <c r="A36" s="269" t="s">
        <v>216</v>
      </c>
      <c r="B36" s="367">
        <v>20</v>
      </c>
      <c r="C36" s="21" t="s">
        <v>14</v>
      </c>
      <c r="D36" s="915" t="s">
        <v>547</v>
      </c>
      <c r="E36" s="909"/>
      <c r="F36" s="909"/>
      <c r="G36" s="909"/>
      <c r="H36" s="909"/>
      <c r="I36" s="909"/>
      <c r="J36" s="910"/>
    </row>
    <row r="37" spans="1:10">
      <c r="A37" s="270" t="s">
        <v>207</v>
      </c>
      <c r="B37" s="367">
        <v>10</v>
      </c>
      <c r="C37" s="21" t="s">
        <v>14</v>
      </c>
      <c r="D37" s="914" t="s">
        <v>568</v>
      </c>
      <c r="E37" s="909"/>
      <c r="F37" s="909"/>
      <c r="G37" s="909"/>
      <c r="H37" s="909"/>
      <c r="I37" s="909"/>
      <c r="J37" s="910"/>
    </row>
    <row r="38" spans="1:10">
      <c r="A38" s="269" t="s">
        <v>217</v>
      </c>
      <c r="B38" s="367">
        <v>15</v>
      </c>
      <c r="C38" s="21" t="s">
        <v>14</v>
      </c>
      <c r="D38" s="914" t="s">
        <v>585</v>
      </c>
      <c r="E38" s="909"/>
      <c r="F38" s="909"/>
      <c r="G38" s="909"/>
      <c r="H38" s="909"/>
      <c r="I38" s="909"/>
      <c r="J38" s="910"/>
    </row>
    <row r="39" spans="1:10">
      <c r="D39" s="914" t="s">
        <v>275</v>
      </c>
      <c r="E39" s="909"/>
      <c r="F39" s="909"/>
      <c r="G39" s="909"/>
      <c r="H39" s="909"/>
      <c r="I39" s="909"/>
      <c r="J39" s="910"/>
    </row>
    <row r="40" spans="1:10" ht="30" customHeight="1">
      <c r="A40" s="40"/>
      <c r="B40" s="425"/>
      <c r="C40" s="6"/>
      <c r="D40" s="908" t="s">
        <v>343</v>
      </c>
      <c r="E40" s="909"/>
      <c r="F40" s="909"/>
      <c r="G40" s="909"/>
      <c r="H40" s="909"/>
      <c r="I40" s="909"/>
      <c r="J40" s="910"/>
    </row>
    <row r="41" spans="1:10">
      <c r="D41" s="908" t="s">
        <v>531</v>
      </c>
      <c r="E41" s="909"/>
      <c r="F41" s="909"/>
      <c r="G41" s="909"/>
      <c r="H41" s="909"/>
      <c r="I41" s="909"/>
      <c r="J41" s="910"/>
    </row>
    <row r="42" spans="1:10" ht="15" customHeight="1">
      <c r="D42" s="917" t="s">
        <v>580</v>
      </c>
      <c r="E42" s="872"/>
      <c r="F42" s="872"/>
      <c r="G42" s="872"/>
      <c r="H42" s="872"/>
      <c r="I42" s="872"/>
      <c r="J42" s="873"/>
    </row>
    <row r="43" spans="1:10" ht="18.75">
      <c r="A43" s="90" t="s">
        <v>439</v>
      </c>
      <c r="B43" s="81"/>
      <c r="C43" s="81"/>
      <c r="D43" s="318"/>
      <c r="E43" s="739"/>
      <c r="F43" s="740"/>
      <c r="G43" s="741"/>
      <c r="H43" s="742"/>
      <c r="I43" s="743"/>
      <c r="J43" s="744"/>
    </row>
    <row r="44" spans="1:10" ht="44.25" customHeight="1">
      <c r="A44" s="375" t="s">
        <v>301</v>
      </c>
      <c r="B44" s="895" t="s">
        <v>319</v>
      </c>
      <c r="C44" s="896"/>
      <c r="D44" s="392" t="s">
        <v>321</v>
      </c>
      <c r="E44" s="897" t="s">
        <v>318</v>
      </c>
      <c r="F44" s="898"/>
      <c r="G44" s="898"/>
      <c r="H44" s="898"/>
      <c r="I44" s="898"/>
      <c r="J44" s="899"/>
    </row>
    <row r="45" spans="1:10">
      <c r="A45" s="627" t="str">
        <f>'B-Wireless-Input-System Gain'!A56</f>
        <v>Mobile Handheld Device</v>
      </c>
      <c r="B45" s="390" t="s">
        <v>193</v>
      </c>
      <c r="C45" s="293" t="s">
        <v>14</v>
      </c>
      <c r="D45" s="393" t="s">
        <v>180</v>
      </c>
      <c r="E45" s="376" t="s">
        <v>0</v>
      </c>
      <c r="F45" s="377" t="s">
        <v>309</v>
      </c>
      <c r="G45" s="378"/>
      <c r="H45" s="379"/>
      <c r="I45" s="380"/>
      <c r="J45" s="381"/>
    </row>
    <row r="46" spans="1:10">
      <c r="A46" s="627" t="str">
        <f>'B-Wireless-Input-System Gain'!A57</f>
        <v>Wireless-Enabled Smart Meter</v>
      </c>
      <c r="B46" s="266">
        <v>2</v>
      </c>
      <c r="C46" s="294" t="s">
        <v>14</v>
      </c>
      <c r="D46" s="394" t="s">
        <v>210</v>
      </c>
      <c r="E46" s="382" t="s">
        <v>1</v>
      </c>
      <c r="F46" s="263" t="s">
        <v>310</v>
      </c>
      <c r="G46" s="383"/>
      <c r="H46" s="263"/>
      <c r="I46" s="263"/>
      <c r="J46" s="383"/>
    </row>
    <row r="47" spans="1:10">
      <c r="A47" s="627" t="str">
        <f>'B-Wireless-Input-System Gain'!A58</f>
        <v>Feeder Line Device</v>
      </c>
      <c r="B47" s="390" t="s">
        <v>192</v>
      </c>
      <c r="C47" s="293" t="s">
        <v>14</v>
      </c>
      <c r="D47" s="395"/>
      <c r="E47" s="382" t="s">
        <v>2</v>
      </c>
      <c r="F47" s="263" t="s">
        <v>311</v>
      </c>
      <c r="G47" s="263"/>
      <c r="H47" s="386"/>
      <c r="I47" s="263"/>
      <c r="J47" s="383"/>
    </row>
    <row r="48" spans="1:10">
      <c r="A48" s="627" t="str">
        <f>'B-Wireless-Input-System Gain'!A59</f>
        <v>Vehicular Installed Mobile Terminal</v>
      </c>
      <c r="B48" s="390" t="s">
        <v>298</v>
      </c>
      <c r="C48" s="374" t="s">
        <v>14</v>
      </c>
      <c r="D48" s="393" t="s">
        <v>30</v>
      </c>
      <c r="E48" s="377" t="s">
        <v>60</v>
      </c>
      <c r="F48" s="377"/>
      <c r="G48" s="377" t="s">
        <v>314</v>
      </c>
      <c r="H48" s="263"/>
      <c r="I48" s="377"/>
      <c r="J48" s="378"/>
    </row>
    <row r="49" spans="1:10">
      <c r="A49" s="627" t="str">
        <f>'B-Wireless-Input-System Gain'!A60</f>
        <v>Fixed Indoor Self-Installed Terminal</v>
      </c>
      <c r="B49" s="390" t="s">
        <v>193</v>
      </c>
      <c r="C49" s="374" t="s">
        <v>14</v>
      </c>
      <c r="D49" s="394" t="s">
        <v>211</v>
      </c>
      <c r="E49" s="263" t="s">
        <v>59</v>
      </c>
      <c r="F49" s="263"/>
      <c r="G49" s="384" t="s">
        <v>313</v>
      </c>
      <c r="H49" s="263"/>
      <c r="I49" s="263"/>
      <c r="J49" s="383"/>
    </row>
    <row r="50" spans="1:10">
      <c r="A50" s="627" t="str">
        <f>'B-Wireless-Input-System Gain'!A61</f>
        <v>Fixed Outdoor Pole or Bldg-Mounted Terminal</v>
      </c>
      <c r="B50" s="390" t="s">
        <v>192</v>
      </c>
      <c r="C50" s="374" t="s">
        <v>14</v>
      </c>
      <c r="D50" s="395"/>
      <c r="E50" s="263" t="s">
        <v>36</v>
      </c>
      <c r="F50" s="385"/>
      <c r="G50" s="384" t="s">
        <v>313</v>
      </c>
      <c r="H50" s="263"/>
      <c r="I50" s="263"/>
      <c r="J50" s="383"/>
    </row>
    <row r="51" spans="1:10">
      <c r="A51" s="627" t="str">
        <f>'B-Wireless-Input-System Gain'!A62</f>
        <v>Other "A"</v>
      </c>
      <c r="B51" s="390"/>
      <c r="C51" s="391"/>
      <c r="D51" s="393" t="s">
        <v>72</v>
      </c>
      <c r="E51" s="377" t="s">
        <v>60</v>
      </c>
      <c r="F51" s="377"/>
      <c r="G51" s="377" t="s">
        <v>314</v>
      </c>
      <c r="H51" s="377"/>
      <c r="I51" s="377"/>
      <c r="J51" s="378"/>
    </row>
    <row r="52" spans="1:10">
      <c r="A52" s="627" t="str">
        <f>'B-Wireless-Input-System Gain'!A63</f>
        <v>Other "B"</v>
      </c>
      <c r="B52" s="390"/>
      <c r="C52" s="391"/>
      <c r="D52" s="396" t="s">
        <v>212</v>
      </c>
      <c r="E52" s="386" t="s">
        <v>36</v>
      </c>
      <c r="F52" s="386"/>
      <c r="G52" s="387" t="s">
        <v>313</v>
      </c>
      <c r="H52" s="386"/>
      <c r="I52" s="386"/>
      <c r="J52" s="388"/>
    </row>
    <row r="53" spans="1:10">
      <c r="A53" s="373" t="s">
        <v>317</v>
      </c>
      <c r="B53" s="81"/>
      <c r="C53" s="74"/>
      <c r="D53" s="393" t="s">
        <v>58</v>
      </c>
      <c r="E53" s="377" t="s">
        <v>60</v>
      </c>
      <c r="F53" s="377"/>
      <c r="G53" s="377" t="s">
        <v>314</v>
      </c>
      <c r="H53" s="377"/>
      <c r="I53" s="377"/>
      <c r="J53" s="378"/>
    </row>
    <row r="54" spans="1:10">
      <c r="A54" s="270" t="s">
        <v>247</v>
      </c>
      <c r="B54" s="287">
        <f>1/B55</f>
        <v>0.62137119223733395</v>
      </c>
      <c r="C54" s="9" t="s">
        <v>248</v>
      </c>
      <c r="D54" s="394" t="s">
        <v>213</v>
      </c>
      <c r="E54" s="263" t="s">
        <v>36</v>
      </c>
      <c r="F54" s="263"/>
      <c r="G54" s="384" t="s">
        <v>313</v>
      </c>
      <c r="H54" s="263"/>
      <c r="I54" s="263"/>
      <c r="J54" s="383"/>
    </row>
    <row r="55" spans="1:10">
      <c r="A55" s="270" t="s">
        <v>201</v>
      </c>
      <c r="B55" s="287">
        <v>1.6093440000000001</v>
      </c>
      <c r="C55" s="9" t="s">
        <v>171</v>
      </c>
      <c r="D55" s="397"/>
      <c r="E55" s="386" t="s">
        <v>76</v>
      </c>
      <c r="F55" s="386"/>
      <c r="G55" s="387" t="s">
        <v>313</v>
      </c>
      <c r="H55" s="386"/>
      <c r="I55" s="386"/>
      <c r="J55" s="388"/>
    </row>
    <row r="56" spans="1:10">
      <c r="A56" s="270" t="s">
        <v>202</v>
      </c>
      <c r="B56" s="287">
        <v>4.0469E-3</v>
      </c>
      <c r="C56" s="9" t="s">
        <v>196</v>
      </c>
      <c r="D56" s="393" t="s">
        <v>98</v>
      </c>
      <c r="E56" s="377" t="s">
        <v>60</v>
      </c>
      <c r="F56" s="377"/>
      <c r="G56" s="377" t="s">
        <v>315</v>
      </c>
      <c r="H56" s="377"/>
      <c r="I56" s="377"/>
      <c r="J56" s="378"/>
    </row>
    <row r="57" spans="1:10">
      <c r="A57" s="372" t="s">
        <v>326</v>
      </c>
      <c r="B57" s="389">
        <f>(1/299792.438)*1000000</f>
        <v>3.3356411745115464</v>
      </c>
      <c r="C57" s="1" t="s">
        <v>325</v>
      </c>
      <c r="D57" s="394" t="s">
        <v>213</v>
      </c>
      <c r="E57" s="263" t="s">
        <v>59</v>
      </c>
      <c r="F57" s="263"/>
      <c r="G57" s="384" t="s">
        <v>313</v>
      </c>
      <c r="H57" s="263"/>
      <c r="I57" s="263"/>
      <c r="J57" s="383"/>
    </row>
    <row r="58" spans="1:10">
      <c r="A58" s="344"/>
      <c r="B58" s="415"/>
      <c r="C58" s="416"/>
      <c r="D58" s="383"/>
      <c r="E58" s="263" t="s">
        <v>36</v>
      </c>
      <c r="F58" s="263"/>
      <c r="G58" s="384" t="s">
        <v>313</v>
      </c>
      <c r="H58" s="263"/>
      <c r="I58" s="263"/>
      <c r="J58" s="383"/>
    </row>
    <row r="59" spans="1:10">
      <c r="A59" s="644" t="s">
        <v>490</v>
      </c>
      <c r="B59" s="646">
        <f>'B-Wireless-Input-System Gain'!Z42</f>
        <v>34.549999999999997</v>
      </c>
      <c r="C59" s="645" t="s">
        <v>195</v>
      </c>
      <c r="D59" s="383"/>
      <c r="E59" s="263" t="s">
        <v>223</v>
      </c>
      <c r="F59" s="263"/>
      <c r="G59" s="263" t="s">
        <v>312</v>
      </c>
      <c r="H59" s="263"/>
      <c r="I59" s="263"/>
      <c r="J59" s="383"/>
    </row>
    <row r="60" spans="1:10">
      <c r="A60" s="644" t="s">
        <v>491</v>
      </c>
      <c r="B60" s="646">
        <f>'B-Wireless-Input-System Gain'!AG42</f>
        <v>35.35</v>
      </c>
      <c r="C60" s="645" t="s">
        <v>195</v>
      </c>
      <c r="D60" s="414" t="s">
        <v>218</v>
      </c>
      <c r="E60" s="745" t="s">
        <v>75</v>
      </c>
      <c r="F60" s="386"/>
      <c r="G60" s="386" t="s">
        <v>315</v>
      </c>
      <c r="H60" s="386"/>
      <c r="I60" s="386"/>
      <c r="J60" s="388"/>
    </row>
    <row r="61" spans="1:10">
      <c r="A61" s="6"/>
      <c r="B61" s="132"/>
      <c r="C61" s="12"/>
    </row>
    <row r="62" spans="1:10">
      <c r="A62" s="6"/>
      <c r="B62" s="132"/>
      <c r="C62" s="12"/>
    </row>
    <row r="63" spans="1:10">
      <c r="A63" s="6"/>
      <c r="B63" s="132"/>
      <c r="C63" s="268"/>
    </row>
    <row r="64" spans="1:10">
      <c r="C64" s="413"/>
    </row>
  </sheetData>
  <mergeCells count="16">
    <mergeCell ref="A30:C30"/>
    <mergeCell ref="E3:F3"/>
    <mergeCell ref="B44:C44"/>
    <mergeCell ref="E44:J44"/>
    <mergeCell ref="A3:C3"/>
    <mergeCell ref="D5:J6"/>
    <mergeCell ref="D40:J40"/>
    <mergeCell ref="D33:J33"/>
    <mergeCell ref="D41:J41"/>
    <mergeCell ref="D39:J39"/>
    <mergeCell ref="D34:J34"/>
    <mergeCell ref="D35:J35"/>
    <mergeCell ref="D36:J36"/>
    <mergeCell ref="D37:J37"/>
    <mergeCell ref="D38:J38"/>
    <mergeCell ref="D42:J42"/>
  </mergeCells>
  <dataValidations xWindow="328" yWindow="504" count="16">
    <dataValidation type="decimal" allowBlank="1" showInputMessage="1" showErrorMessage="1" prompt="Allowable Input values form 5 to 50 m" sqref="B40 B31:B38">
      <formula1>5</formula1>
      <formula2>50</formula2>
    </dataValidation>
    <dataValidation type="decimal" operator="lessThan" allowBlank="1" showInputMessage="1" showErrorMessage="1" prompt="Value cannot exceed peak UL Goodput" sqref="B9">
      <formula1>B59*(1-B14-B15)</formula1>
    </dataValidation>
    <dataValidation type="decimal" operator="lessThan" allowBlank="1" showInputMessage="1" showErrorMessage="1" prompt="Value cannot exceed peak DL Goodput" sqref="B10">
      <formula1>B60*(1-B14-B15)</formula1>
    </dataValidation>
    <dataValidation type="decimal" operator="greaterThan" allowBlank="1" showInputMessage="1" showErrorMessage="1" promptTitle="ALERT" prompt="Make sure entry is consistent with the units used to define coverage area - DD per sq-km or per sq-mi" sqref="B25">
      <formula1>0</formula1>
    </dataValidation>
    <dataValidation type="decimal" operator="greaterThan" allowBlank="1" showInputMessage="1" showErrorMessage="1" sqref="B23:C23">
      <formula1>0</formula1>
    </dataValidation>
    <dataValidation allowBlank="1" showInputMessage="1" showErrorMessage="1" promptTitle="ALERT" prompt="Make sure DD requirements are consistent with units used for coverage area; Sq-mi or sq-km." sqref="B24"/>
    <dataValidation type="decimal" allowBlank="1" showInputMessage="1" showErrorMessage="1" prompt="Enter value between 7 meters and 200 meters" sqref="B18">
      <formula1>7</formula1>
      <formula2>200</formula2>
    </dataValidation>
    <dataValidation type="decimal" allowBlank="1" showInputMessage="1" showErrorMessage="1" prompt="Enter value between 1.5 meters and 10 meters" sqref="B19">
      <formula1>1.5</formula1>
      <formula2>10</formula2>
    </dataValidation>
    <dataValidation type="list" allowBlank="1" showInputMessage="1" showErrorMessage="1" sqref="B20">
      <formula1>"Outdoor,Vehicle, Indoor-Res,Indoor-Bus, ID Basement, Indoor Vault"</formula1>
    </dataValidation>
    <dataValidation type="list" allowBlank="1" showInputMessage="1" showErrorMessage="1" sqref="B17">
      <formula1>"1,3"</formula1>
    </dataValidation>
    <dataValidation type="list" allowBlank="1" showInputMessage="1" showErrorMessage="1" sqref="B5">
      <formula1>$A$45:$A$52</formula1>
    </dataValidation>
    <dataValidation type="list" allowBlank="1" showInputMessage="1" showErrorMessage="1" sqref="E8">
      <formula1>"Erceg-SUI-Modified,Hata-Okumura,COST231-Hata,WINNER II,ITU-R M.2135-1"</formula1>
    </dataValidation>
    <dataValidation type="list" allowBlank="1" showInputMessage="1" showErrorMessage="1" sqref="B21">
      <formula1>".80,.85,.87,.90,.93,.96,.99"</formula1>
    </dataValidation>
    <dataValidation type="list" allowBlank="1" showInputMessage="1" showErrorMessage="1" prompt="If unlicensed spectrum indicate &quot;Shared&quot;, this will increase margin for interference." sqref="B6">
      <formula1>"Shared, Dedicated"</formula1>
    </dataValidation>
    <dataValidation type="list" operator="greaterThan" allowBlank="1" showInputMessage="1" showErrorMessage="1" prompt="Enter % value to account for any additional higher layer OH not accounted for in standard - added headers, protocols, etc." sqref="B15">
      <formula1>"0,.01,.02,.03,.04,.05,.06,.07,.08,.09,.10,.11,.12,.13,.14,.15"</formula1>
    </dataValidation>
    <dataValidation type="list" operator="greaterThan" allowBlank="1" showInputMessage="1" showErrorMessage="1" prompt="Enter % value to account for additional _x000a_OH due to  Encryption or Security measures" sqref="B14">
      <formula1>"0,.01,.02,.03,.04,.05,.06,.07,.08,.09,.10,.11,.12,.13,.14,.15"</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R142"/>
  <sheetViews>
    <sheetView workbookViewId="0"/>
  </sheetViews>
  <sheetFormatPr defaultRowHeight="15"/>
  <cols>
    <col min="1" max="1" width="34.7109375" customWidth="1"/>
    <col min="2" max="16" width="12.7109375" customWidth="1"/>
    <col min="18" max="18" width="15.85546875" customWidth="1"/>
    <col min="19" max="19" width="10.5703125" customWidth="1"/>
    <col min="20" max="20" width="10.42578125" customWidth="1"/>
    <col min="21" max="21" width="10.28515625" customWidth="1"/>
    <col min="22" max="22" width="12.7109375" customWidth="1"/>
    <col min="23" max="23" width="11.5703125" customWidth="1"/>
    <col min="24" max="24" width="10.5703125" customWidth="1"/>
  </cols>
  <sheetData>
    <row r="1" spans="1:18" ht="18.75">
      <c r="A1" s="194" t="s">
        <v>169</v>
      </c>
    </row>
    <row r="2" spans="1:18" ht="18.75">
      <c r="A2" s="90" t="s">
        <v>518</v>
      </c>
      <c r="B2" s="284" t="s">
        <v>269</v>
      </c>
      <c r="C2" s="81"/>
      <c r="D2" s="81"/>
      <c r="E2" s="81"/>
      <c r="F2" s="81"/>
      <c r="G2" s="81"/>
      <c r="H2" s="81"/>
      <c r="I2" s="81"/>
      <c r="J2" s="74"/>
    </row>
    <row r="3" spans="1:18">
      <c r="A3" s="32" t="s">
        <v>61</v>
      </c>
      <c r="B3" s="254">
        <f>'B-Wireless-Input-System Gain'!C11</f>
        <v>2450</v>
      </c>
      <c r="C3" s="18" t="s">
        <v>65</v>
      </c>
      <c r="E3" s="17" t="s">
        <v>63</v>
      </c>
      <c r="F3" s="254">
        <f>'C-SG Ntwrk-Input-BS-Output '!B18</f>
        <v>7</v>
      </c>
      <c r="G3" s="18" t="s">
        <v>14</v>
      </c>
    </row>
    <row r="4" spans="1:18">
      <c r="A4" s="17" t="s">
        <v>62</v>
      </c>
      <c r="B4" s="52">
        <f>'C-SG Ntwrk-Input-BS-Output '!B12</f>
        <v>133.27940008672039</v>
      </c>
      <c r="C4" s="18" t="s">
        <v>66</v>
      </c>
      <c r="E4" s="17" t="s">
        <v>64</v>
      </c>
      <c r="F4" s="254">
        <f>'C-SG Ntwrk-Input-BS-Output '!B19</f>
        <v>2</v>
      </c>
      <c r="G4" s="18" t="s">
        <v>14</v>
      </c>
    </row>
    <row r="5" spans="1:18">
      <c r="A5" s="17" t="s">
        <v>459</v>
      </c>
      <c r="B5" s="255">
        <f>'C-SG Ntwrk-Input-BS-Output '!B11+10</f>
        <v>5.7</v>
      </c>
      <c r="C5" s="18" t="s">
        <v>66</v>
      </c>
      <c r="E5" s="17" t="s">
        <v>74</v>
      </c>
      <c r="F5" s="256" t="str">
        <f>'C-SG Ntwrk-Input-BS-Output '!B20</f>
        <v>Outdoor</v>
      </c>
      <c r="G5" s="18"/>
    </row>
    <row r="6" spans="1:18">
      <c r="A6" s="17" t="s">
        <v>106</v>
      </c>
      <c r="B6" s="254">
        <f>'C-SG Ntwrk-Input-BS-Output '!B17</f>
        <v>1</v>
      </c>
      <c r="C6" s="83" t="s">
        <v>267</v>
      </c>
      <c r="E6" s="17" t="s">
        <v>268</v>
      </c>
      <c r="F6" s="403">
        <f>1.005*'C-SG Ntwrk-Input-BS-Output '!B21</f>
        <v>0.90449999999999997</v>
      </c>
      <c r="G6" s="186" t="s">
        <v>164</v>
      </c>
      <c r="H6" s="39"/>
      <c r="I6" s="39"/>
      <c r="J6" s="2"/>
    </row>
    <row r="7" spans="1:18">
      <c r="A7" s="170" t="s">
        <v>154</v>
      </c>
      <c r="B7" s="918">
        <f>IF('C-SG Ntwrk-Input-BS-Output '!$B$6="Dedicated",0,6)</f>
        <v>6</v>
      </c>
      <c r="C7" s="919"/>
      <c r="D7" s="406">
        <f>IF('C-SG Ntwrk-Input-BS-Output '!$B$6="Dedicated",0,4)</f>
        <v>4</v>
      </c>
      <c r="E7" s="406">
        <f>IF('C-SG Ntwrk-Input-BS-Output '!$B$6="Dedicated",0,2)</f>
        <v>2</v>
      </c>
      <c r="F7" s="18" t="s">
        <v>66</v>
      </c>
      <c r="G7" s="191" t="s">
        <v>160</v>
      </c>
      <c r="H7" s="370">
        <v>4</v>
      </c>
      <c r="I7" s="159"/>
      <c r="J7" s="192"/>
    </row>
    <row r="8" spans="1:18" ht="34.5" customHeight="1">
      <c r="A8" s="77" t="s">
        <v>93</v>
      </c>
      <c r="B8" s="3" t="s">
        <v>42</v>
      </c>
      <c r="C8" s="3" t="s">
        <v>43</v>
      </c>
      <c r="D8" s="3" t="s">
        <v>36</v>
      </c>
      <c r="E8" s="3" t="s">
        <v>75</v>
      </c>
      <c r="G8" s="267"/>
      <c r="H8" s="6">
        <v>10</v>
      </c>
      <c r="I8" s="6"/>
      <c r="J8" s="9"/>
    </row>
    <row r="9" spans="1:18">
      <c r="A9" s="53" t="s">
        <v>91</v>
      </c>
      <c r="B9" s="256">
        <f>'C-SG Ntwrk-Input-BS-Output '!B31</f>
        <v>30</v>
      </c>
      <c r="C9" s="256">
        <f>'C-SG Ntwrk-Input-BS-Output '!B33</f>
        <v>20</v>
      </c>
      <c r="D9" s="256">
        <f>'C-SG Ntwrk-Input-BS-Output '!B35</f>
        <v>10</v>
      </c>
      <c r="E9" s="256">
        <f>'C-SG Ntwrk-Input-BS-Output '!B37</f>
        <v>10</v>
      </c>
      <c r="F9" s="44"/>
      <c r="G9" s="404"/>
      <c r="H9" s="6"/>
      <c r="I9" s="6"/>
      <c r="J9" s="9"/>
    </row>
    <row r="10" spans="1:18">
      <c r="A10" s="53" t="s">
        <v>92</v>
      </c>
      <c r="B10" s="256">
        <f>'C-SG Ntwrk-Input-BS-Output '!B32</f>
        <v>20</v>
      </c>
      <c r="C10" s="256">
        <f>'C-SG Ntwrk-Input-BS-Output '!B34</f>
        <v>20</v>
      </c>
      <c r="D10" s="256">
        <f>'C-SG Ntwrk-Input-BS-Output '!B36</f>
        <v>20</v>
      </c>
      <c r="E10" s="256">
        <f>'C-SG Ntwrk-Input-BS-Output '!B38</f>
        <v>15</v>
      </c>
      <c r="F10" s="44"/>
      <c r="G10" s="405"/>
      <c r="H10" s="21"/>
      <c r="I10" s="21"/>
      <c r="J10" s="1"/>
    </row>
    <row r="11" spans="1:18" ht="15.75">
      <c r="A11" s="71" t="s">
        <v>83</v>
      </c>
      <c r="B11" s="72"/>
      <c r="C11" s="72"/>
      <c r="D11" s="72"/>
      <c r="E11" s="72"/>
      <c r="F11" s="73"/>
      <c r="G11" s="72"/>
      <c r="H11" s="72"/>
      <c r="I11" s="81"/>
      <c r="J11" s="74"/>
      <c r="R11" s="31"/>
    </row>
    <row r="12" spans="1:18" ht="30">
      <c r="A12" s="68" t="s">
        <v>23</v>
      </c>
      <c r="B12" s="68" t="s">
        <v>60</v>
      </c>
      <c r="C12" s="68" t="s">
        <v>59</v>
      </c>
      <c r="D12" s="69" t="s">
        <v>36</v>
      </c>
      <c r="E12" s="68" t="s">
        <v>75</v>
      </c>
      <c r="F12" s="70" t="s">
        <v>76</v>
      </c>
      <c r="G12" s="68" t="s">
        <v>0</v>
      </c>
      <c r="H12" s="68" t="s">
        <v>1</v>
      </c>
      <c r="I12" s="68" t="s">
        <v>2</v>
      </c>
      <c r="J12" s="68" t="s">
        <v>99</v>
      </c>
      <c r="R12" s="31"/>
    </row>
    <row r="13" spans="1:18">
      <c r="A13" s="204" t="s">
        <v>100</v>
      </c>
      <c r="B13" s="210"/>
      <c r="C13" s="210"/>
      <c r="D13" s="211"/>
      <c r="E13" s="212"/>
      <c r="F13" s="213"/>
      <c r="G13" s="206">
        <f>IF($F$3&gt;80,"n/a",IF($F$4&lt;1.5,"n/a",G67))</f>
        <v>0.32931579887470902</v>
      </c>
      <c r="H13" s="206">
        <f>IF($F$3&gt;80,"n/a",IF($F$4&lt;1.5,"n/a",I67))</f>
        <v>0.35291948129038198</v>
      </c>
      <c r="I13" s="206">
        <f>IF($F$3&gt;80,"n/a",IF($F$4&lt;1.5,"n/a",K67))</f>
        <v>0.35273133607005103</v>
      </c>
      <c r="J13" s="23" t="s">
        <v>70</v>
      </c>
      <c r="R13" s="29"/>
    </row>
    <row r="14" spans="1:18">
      <c r="A14" s="204" t="s">
        <v>101</v>
      </c>
      <c r="B14" s="210"/>
      <c r="C14" s="210"/>
      <c r="D14" s="211"/>
      <c r="E14" s="212"/>
      <c r="F14" s="213"/>
      <c r="G14" s="206">
        <f>IF($F$3&gt;80,"n/a",IF($F$4&lt;2,"n/a",IF($B$3&lt;1800,"n/a",IF($B$3&gt;2700,"n/a",G75))))</f>
        <v>0.34634702071862672</v>
      </c>
      <c r="H14" s="206">
        <f>IF($F$3&gt;80,"n/a",IF($F$4&lt;2,"n/a",IF($B$3&lt;1800,"n/a",IF($B$3&gt;2700,"n/a",I75))))</f>
        <v>0.3686122290308943</v>
      </c>
      <c r="I14" s="206">
        <f>IF($F$3&gt;80,"n/a",IF($F$4&lt;2,"n/a",IF($B$3&lt;1800,"n/a",IF($B$3&gt;2700,"n/a",K75))))</f>
        <v>0.36676096899960448</v>
      </c>
      <c r="J14" s="23" t="s">
        <v>102</v>
      </c>
      <c r="R14" s="29"/>
    </row>
    <row r="15" spans="1:18">
      <c r="A15" s="204" t="s">
        <v>30</v>
      </c>
      <c r="B15" s="206" t="str">
        <f>IF($F$3&lt;30,"n/a",IF($B$3&gt;1500,"n/a",G90))</f>
        <v>n/a</v>
      </c>
      <c r="C15" s="206" t="str">
        <f>IF($F$3&lt;30,"n/a",IF($B$3&gt;1500,"n/a",I90))</f>
        <v>n/a</v>
      </c>
      <c r="D15" s="214" t="str">
        <f>IF($F$3&lt;30,"n/a",IF($B$3&gt;1500,"n/a",K90))</f>
        <v>n/a</v>
      </c>
      <c r="E15" s="212"/>
      <c r="F15" s="213"/>
      <c r="G15" s="210"/>
      <c r="H15" s="210"/>
      <c r="I15" s="210"/>
      <c r="J15" s="23" t="s">
        <v>73</v>
      </c>
    </row>
    <row r="16" spans="1:18">
      <c r="A16" s="204" t="s">
        <v>72</v>
      </c>
      <c r="B16" s="206" t="str">
        <f>IF($B$3&lt;1500,"n/a", IF($B$3 &gt;2000,"n/a",IF($F$3&lt;30,"n/a",G119)))</f>
        <v>n/a</v>
      </c>
      <c r="C16" s="210"/>
      <c r="D16" s="214" t="str">
        <f>IF($B$3&lt;1500,"n/a", IF($B$3 &gt;2000,"n/a",IF($F$3&lt;30,"n/a",I119)))</f>
        <v>n/a</v>
      </c>
      <c r="E16" s="212"/>
      <c r="F16" s="213"/>
      <c r="G16" s="210"/>
      <c r="H16" s="210"/>
      <c r="I16" s="210"/>
      <c r="J16" s="23" t="s">
        <v>71</v>
      </c>
    </row>
    <row r="17" spans="1:10">
      <c r="A17" s="207" t="s">
        <v>58</v>
      </c>
      <c r="B17" s="215" t="str">
        <f>IF($F$3&lt;25,"n/a",IF($B$3&lt;2000,"n/a",G105))</f>
        <v>n/a</v>
      </c>
      <c r="C17" s="215"/>
      <c r="D17" s="206" t="str">
        <f>IF($F$3&lt;25,"n/a",IF($B$3&lt;2000,"n/a",I105))</f>
        <v>n/a</v>
      </c>
      <c r="E17" s="212"/>
      <c r="F17" s="206" t="str">
        <f>IF($F$3&lt;25,"n/a",IF($B$3&lt;2000,"n/a",IF(F4&lt;1.5,"n/a",K105)))</f>
        <v>n/a</v>
      </c>
      <c r="G17" s="216"/>
      <c r="H17" s="216"/>
      <c r="I17" s="216"/>
      <c r="J17" s="23" t="s">
        <v>69</v>
      </c>
    </row>
    <row r="18" spans="1:10">
      <c r="A18" s="217" t="s">
        <v>98</v>
      </c>
      <c r="B18" s="206" t="str">
        <f>IF($F$3&lt;B9,"n/a",IF($B$3&lt;2000,"n/a",G131))</f>
        <v>n/a</v>
      </c>
      <c r="C18" s="206" t="str">
        <f>IF($F$3&lt;C9,"n/a",IF($B$3&lt;2000,"n/a",I131))</f>
        <v>n/a</v>
      </c>
      <c r="D18" s="206" t="str">
        <f>IF($F$3&lt;D9,"n/a",IF($B$3&lt;2000,"n/a",K131))</f>
        <v>n/a</v>
      </c>
      <c r="E18" s="206" t="str">
        <f>IF($F$3&lt;E9,"n/a",IF($B$3&lt;450,"n/a",M131))</f>
        <v>n/a</v>
      </c>
      <c r="F18" s="212"/>
      <c r="G18" s="212"/>
      <c r="H18" s="212"/>
      <c r="I18" s="212"/>
      <c r="J18" s="23" t="s">
        <v>69</v>
      </c>
    </row>
    <row r="19" spans="1:10">
      <c r="A19" s="217" t="s">
        <v>224</v>
      </c>
      <c r="B19" s="206" t="str">
        <f>IF($F$4&gt;2.5,"n/a",IF($B$3&lt;2000,"n/a",G142))</f>
        <v>n/a</v>
      </c>
      <c r="C19" s="212"/>
      <c r="D19" s="212"/>
      <c r="E19" s="212"/>
      <c r="F19" s="212"/>
      <c r="G19" s="212"/>
      <c r="H19" s="212"/>
      <c r="I19" s="212"/>
      <c r="J19" s="23" t="s">
        <v>69</v>
      </c>
    </row>
    <row r="20" spans="1:10" ht="15.75">
      <c r="A20" s="71" t="s">
        <v>266</v>
      </c>
      <c r="B20" s="75"/>
      <c r="C20" s="75"/>
      <c r="D20" s="75"/>
      <c r="E20" s="75"/>
      <c r="F20" s="76"/>
      <c r="G20" s="76"/>
      <c r="H20" s="76" t="s">
        <v>232</v>
      </c>
      <c r="I20" s="81"/>
      <c r="J20" s="74"/>
    </row>
    <row r="21" spans="1:10" ht="30">
      <c r="A21" s="68" t="s">
        <v>23</v>
      </c>
      <c r="B21" s="68" t="s">
        <v>60</v>
      </c>
      <c r="C21" s="68" t="s">
        <v>59</v>
      </c>
      <c r="D21" s="69" t="s">
        <v>36</v>
      </c>
      <c r="E21" s="68" t="s">
        <v>75</v>
      </c>
      <c r="F21" s="70" t="s">
        <v>76</v>
      </c>
      <c r="G21" s="68" t="s">
        <v>0</v>
      </c>
      <c r="H21" s="68" t="s">
        <v>1</v>
      </c>
      <c r="I21" s="68" t="s">
        <v>2</v>
      </c>
      <c r="J21" s="68" t="s">
        <v>99</v>
      </c>
    </row>
    <row r="22" spans="1:10">
      <c r="A22" s="200" t="s">
        <v>100</v>
      </c>
      <c r="B22" s="201"/>
      <c r="C22" s="201"/>
      <c r="D22" s="226"/>
      <c r="E22" s="202"/>
      <c r="F22" s="227"/>
      <c r="G22" s="201">
        <f>IF($F$3&gt;80,"n/a",G63/10)</f>
        <v>6.3474999999999993</v>
      </c>
      <c r="H22" s="201">
        <f>IF($F$3&gt;80,"n/a",I63/10)</f>
        <v>6.3973571428571425</v>
      </c>
      <c r="I22" s="201">
        <f>IF($F$3&gt;80,"n/a",K63/10)</f>
        <v>6.4221428571428572</v>
      </c>
      <c r="J22" s="23" t="s">
        <v>70</v>
      </c>
    </row>
    <row r="23" spans="1:10">
      <c r="A23" s="200" t="s">
        <v>101</v>
      </c>
      <c r="B23" s="201"/>
      <c r="C23" s="201"/>
      <c r="D23" s="226"/>
      <c r="E23" s="202"/>
      <c r="F23" s="227"/>
      <c r="G23" s="201">
        <f>IF($F$3&gt;80,"n/a",IF($F$4&lt;2,"n/a",IF($B$3&lt;1800,"n/a",IF($B$3&gt;2700,"n/a",G71/10))))</f>
        <v>6.3474999999999993</v>
      </c>
      <c r="H23" s="201">
        <f>IF($F$3&gt;80,"n/a",IF($F$4&lt;2,"n/a",IF($B$3&lt;1800,"n/a",IF($B$3&gt;2700,"n/a",I71/10))))</f>
        <v>6.3973571428571425</v>
      </c>
      <c r="I23" s="201">
        <f>IF($F$3&gt;80,"n/a",IF($F$4&lt;2,"n/a",IF($B$3&lt;1800,"n/a",IF($B$3&gt;2700,"n/a",K71/10))))</f>
        <v>6.4221428571428572</v>
      </c>
      <c r="J23" s="23" t="s">
        <v>102</v>
      </c>
    </row>
    <row r="24" spans="1:10">
      <c r="A24" s="200" t="s">
        <v>30</v>
      </c>
      <c r="B24" s="201" t="str">
        <f>IF($F$3&lt;30,"n/a",IF($B$3&gt;1500,"n/a",G86/10))</f>
        <v>n/a</v>
      </c>
      <c r="C24" s="201" t="str">
        <f>IF($F$3&lt;30,"n/a",IF($B$3&gt;1500,"n/a",I86/10))</f>
        <v>n/a</v>
      </c>
      <c r="D24" s="226" t="str">
        <f>IF($F$3&lt;30,"n/a",IF($B$3&gt;1500,"n/a",K86/10))</f>
        <v>n/a</v>
      </c>
      <c r="E24" s="202"/>
      <c r="F24" s="227"/>
      <c r="G24" s="228"/>
      <c r="H24" s="228"/>
      <c r="I24" s="228"/>
      <c r="J24" s="23" t="s">
        <v>73</v>
      </c>
    </row>
    <row r="25" spans="1:10">
      <c r="A25" s="200" t="s">
        <v>72</v>
      </c>
      <c r="B25" s="201" t="str">
        <f>IF($B$3&lt;1500,"n/a", IF($B$3 &gt;2000,"n/a",IF($F$3&lt;30,"n/a",G115/10)))</f>
        <v>n/a</v>
      </c>
      <c r="C25" s="228"/>
      <c r="D25" s="226" t="str">
        <f>IF($B$3&lt;1500,"n/a", IF($B$3 &gt;2000,"n/a",IF($F$3&lt;30,"n/a",I115/10)))</f>
        <v>n/a</v>
      </c>
      <c r="E25" s="202"/>
      <c r="F25" s="227"/>
      <c r="G25" s="228"/>
      <c r="H25" s="228"/>
      <c r="I25" s="228"/>
      <c r="J25" s="23" t="s">
        <v>71</v>
      </c>
    </row>
    <row r="26" spans="1:10">
      <c r="A26" s="229" t="s">
        <v>58</v>
      </c>
      <c r="B26" s="230" t="str">
        <f>IF($F$3&lt;25,"n/a",IF($B$3&lt;2000,"n/a",G101/10))</f>
        <v>n/a</v>
      </c>
      <c r="C26" s="230"/>
      <c r="D26" s="231" t="str">
        <f>IF($F$3&lt;25,"n/a",IF($B$3&lt;2000,"n/a",I101/10))</f>
        <v>n/a</v>
      </c>
      <c r="E26" s="202"/>
      <c r="F26" s="201" t="str">
        <f>IF($F$3&lt;25,"n/a",IF($B$3&lt;2000,"n/a",K101/10))</f>
        <v>n/a</v>
      </c>
      <c r="G26" s="232"/>
      <c r="H26" s="232"/>
      <c r="I26" s="232"/>
      <c r="J26" s="23" t="s">
        <v>69</v>
      </c>
    </row>
    <row r="27" spans="1:10">
      <c r="A27" s="203" t="s">
        <v>98</v>
      </c>
      <c r="B27" s="201" t="str">
        <f>IF($F$3&lt;B18,"n/a",IF($B$3&lt;2000,"n/a",G127/10))</f>
        <v>n/a</v>
      </c>
      <c r="C27" s="201" t="str">
        <f>IF($F$3&lt;C18,"n/a",IF($B$3&lt;2000,"n/a",I127/10))</f>
        <v>n/a</v>
      </c>
      <c r="D27" s="201" t="str">
        <f>IF($F$3&lt;D18,"n/a",IF($B$3&lt;2000,"n/a",K127/10))</f>
        <v>n/a</v>
      </c>
      <c r="E27" s="201" t="str">
        <f>IF($F$3&lt;E18,"n/a",IF($B$3&lt;450,"n/a",M127/10))</f>
        <v>n/a</v>
      </c>
      <c r="F27" s="202"/>
      <c r="G27" s="202"/>
      <c r="H27" s="202"/>
      <c r="I27" s="202"/>
      <c r="J27" s="23" t="s">
        <v>69</v>
      </c>
    </row>
    <row r="28" spans="1:10">
      <c r="A28" s="203" t="s">
        <v>224</v>
      </c>
      <c r="B28" s="201">
        <f>IF($F$4&gt;2.5,"n/a",IF($B$3&lt;2000,"n/a",G138/10))</f>
        <v>3.6700000000000004</v>
      </c>
      <c r="C28" s="201"/>
      <c r="D28" s="226"/>
      <c r="E28" s="201"/>
      <c r="F28" s="202"/>
      <c r="G28" s="202"/>
      <c r="H28" s="202"/>
      <c r="I28" s="202"/>
      <c r="J28" s="23" t="s">
        <v>69</v>
      </c>
    </row>
    <row r="29" spans="1:10" ht="15.75">
      <c r="A29" s="71" t="s">
        <v>110</v>
      </c>
      <c r="B29" s="75"/>
      <c r="C29" s="75"/>
      <c r="D29" s="75"/>
      <c r="E29" s="75"/>
      <c r="F29" s="76"/>
      <c r="G29" s="76"/>
      <c r="H29" s="76"/>
      <c r="I29" s="81"/>
      <c r="J29" s="74"/>
    </row>
    <row r="30" spans="1:10" ht="30">
      <c r="A30" s="68" t="s">
        <v>23</v>
      </c>
      <c r="B30" s="68" t="s">
        <v>60</v>
      </c>
      <c r="C30" s="68" t="s">
        <v>59</v>
      </c>
      <c r="D30" s="69" t="s">
        <v>36</v>
      </c>
      <c r="E30" s="68" t="s">
        <v>75</v>
      </c>
      <c r="F30" s="70" t="s">
        <v>76</v>
      </c>
      <c r="G30" s="68" t="s">
        <v>0</v>
      </c>
      <c r="H30" s="68" t="s">
        <v>1</v>
      </c>
      <c r="I30" s="68" t="s">
        <v>2</v>
      </c>
      <c r="J30" s="68" t="s">
        <v>99</v>
      </c>
    </row>
    <row r="31" spans="1:10">
      <c r="A31" s="218" t="s">
        <v>100</v>
      </c>
      <c r="B31" s="233"/>
      <c r="C31" s="233"/>
      <c r="D31" s="234"/>
      <c r="E31" s="233"/>
      <c r="F31" s="235"/>
      <c r="G31" s="221">
        <f>IF($F$3&gt;80,"n/a",G62-20*LOG10(2))</f>
        <v>6.5332531351761949</v>
      </c>
      <c r="H31" s="221">
        <f>IF($F$3&gt;80,"n/a",I62-20*LOG10(2))</f>
        <v>5.9139914298102925</v>
      </c>
      <c r="I31" s="221">
        <f>IF($F$3&gt;80,"n/a",K62-20*LOG10(2))</f>
        <v>5.5011502928996885</v>
      </c>
      <c r="J31" s="23" t="s">
        <v>70</v>
      </c>
    </row>
    <row r="32" spans="1:10">
      <c r="A32" s="218" t="s">
        <v>101</v>
      </c>
      <c r="B32" s="233"/>
      <c r="C32" s="233"/>
      <c r="D32" s="234"/>
      <c r="E32" s="233"/>
      <c r="F32" s="235"/>
      <c r="G32" s="221">
        <f>IF($F$3&gt;80,"n/a",IF($F$4&lt;2,"n/a",IF($B$3&lt;1800,"n/a",IF($B$3&gt;2700,"n/a",G70-20*LOG10(2)))))</f>
        <v>1.7855800607042633</v>
      </c>
      <c r="H32" s="221">
        <f>IF($F$3&gt;80,"n/a",IF($F$4&lt;2,"n/a",IF($B$3&lt;1800,"n/a",IF($B$3&gt;2700,"n/a",I70-20*LOG10(2)))))</f>
        <v>1.7855800607042633</v>
      </c>
      <c r="I32" s="221">
        <f>IF($F$3&gt;80,"n/a",IF($F$4&lt;2,"n/a",IF($B$3&lt;1800,"n/a",IF($B$3&gt;2700,"n/a",K70-20*LOG10(2)))))</f>
        <v>1.7855800607042633</v>
      </c>
      <c r="J32" s="23" t="s">
        <v>102</v>
      </c>
    </row>
    <row r="33" spans="1:17">
      <c r="A33" s="218" t="s">
        <v>30</v>
      </c>
      <c r="B33" s="221" t="str">
        <f>IF($F$3&lt;30,"n/a",IF($B$3&gt;1500,"n/a",G85-20*LOG10(2)))</f>
        <v>n/a</v>
      </c>
      <c r="C33" s="221" t="str">
        <f>IF($F$3&lt;30,"n/a",IF($B$3&gt;1500,"n/a",I85-20*LOG10(2)))</f>
        <v>n/a</v>
      </c>
      <c r="D33" s="222" t="str">
        <f>IF($F$3&lt;30,"n/a",IF($B$3&gt;1500,"n/a",K85-20*LOG10(2)))</f>
        <v>n/a</v>
      </c>
      <c r="E33" s="233"/>
      <c r="F33" s="235"/>
      <c r="G33" s="233"/>
      <c r="H33" s="233"/>
      <c r="I33" s="233"/>
      <c r="J33" s="23" t="s">
        <v>73</v>
      </c>
    </row>
    <row r="34" spans="1:17">
      <c r="A34" s="218" t="s">
        <v>72</v>
      </c>
      <c r="B34" s="221" t="str">
        <f>IF($B$3&lt;1500,"n/a", IF($B$3 &gt;2000,"n/a",IF($F$3&lt;30,"n/a",G114-20*LOG10(2))))</f>
        <v>n/a</v>
      </c>
      <c r="C34" s="219"/>
      <c r="D34" s="222" t="str">
        <f>IF($B$3&lt;1500,"n/a", IF($B$3 &gt;2000,"n/a",IF($F$3&lt;30,"n/a",I114-20*LOG10(2))))</f>
        <v>n/a</v>
      </c>
      <c r="E34" s="233"/>
      <c r="F34" s="235"/>
      <c r="G34" s="233"/>
      <c r="H34" s="233"/>
      <c r="I34" s="233"/>
      <c r="J34" s="23" t="s">
        <v>71</v>
      </c>
    </row>
    <row r="35" spans="1:17">
      <c r="A35" s="223" t="s">
        <v>58</v>
      </c>
      <c r="B35" s="224" t="str">
        <f>IF($F$3&lt;25,"n/a",IF($B$3&lt;2000,"n/a",G100-20*LOG10(2)))</f>
        <v>n/a</v>
      </c>
      <c r="C35" s="224"/>
      <c r="D35" s="236" t="str">
        <f>IF($F$3&lt;25,"n/a",IF($B$3&lt;2000,"n/a",I100-20*LOG10(2)))</f>
        <v>n/a</v>
      </c>
      <c r="E35" s="233"/>
      <c r="F35" s="221" t="str">
        <f>IF($F$3&lt;25,"n/a",IF($B$3&lt;2000,"n/a",K100-20*LOG10(2)))</f>
        <v>n/a</v>
      </c>
      <c r="G35" s="233"/>
      <c r="H35" s="233"/>
      <c r="I35" s="233"/>
      <c r="J35" s="23" t="s">
        <v>69</v>
      </c>
    </row>
    <row r="36" spans="1:17">
      <c r="A36" s="225" t="s">
        <v>98</v>
      </c>
      <c r="B36" s="221" t="str">
        <f>IF($F$3&lt;B27,"n/a",IF($B$3&lt;2000,"n/a",G126-20*LOG10(2)))</f>
        <v>n/a</v>
      </c>
      <c r="C36" s="221" t="str">
        <f>IF($F$3&lt;C27,"n/a",IF($B$3&lt;2000,"n/a",I126-20*LOG10(2)))</f>
        <v>n/a</v>
      </c>
      <c r="D36" s="221" t="str">
        <f>IF($F$3&lt;D27,"n/a",IF($B$3&lt;2000,"n/a",K126-20*LOG10(2)))</f>
        <v>n/a</v>
      </c>
      <c r="E36" s="221" t="str">
        <f>IF($F$3&lt;E27,"n/a",IF($B$3&lt;450,"n/a",M126-20*LOG10(2)))</f>
        <v>n/a</v>
      </c>
      <c r="F36" s="220"/>
      <c r="G36" s="220"/>
      <c r="H36" s="220"/>
      <c r="I36" s="220"/>
      <c r="J36" s="23" t="s">
        <v>69</v>
      </c>
    </row>
    <row r="37" spans="1:17">
      <c r="A37" s="225" t="s">
        <v>224</v>
      </c>
      <c r="B37" s="221">
        <f>IF($F$4&gt;2.5,"n/a",IF($B$3&lt;2000,"n/a",IF($F$5="Outdoor",G137-20*LOG10(2),"n/a")))</f>
        <v>1.8061799739838866</v>
      </c>
      <c r="C37" s="224"/>
      <c r="D37" s="224"/>
      <c r="E37" s="224"/>
      <c r="F37" s="237"/>
      <c r="G37" s="237"/>
      <c r="H37" s="237"/>
      <c r="I37" s="237"/>
      <c r="J37" s="23" t="s">
        <v>69</v>
      </c>
    </row>
    <row r="38" spans="1:17" ht="18.75">
      <c r="A38" s="92" t="s">
        <v>337</v>
      </c>
      <c r="B38" s="93"/>
      <c r="C38" s="93"/>
      <c r="D38" s="93"/>
      <c r="E38" s="93"/>
      <c r="F38" s="94"/>
      <c r="G38" s="94"/>
      <c r="H38" s="94"/>
      <c r="I38" s="95"/>
      <c r="J38" s="8"/>
    </row>
    <row r="39" spans="1:17" ht="30">
      <c r="A39" s="96" t="s">
        <v>111</v>
      </c>
      <c r="B39" s="68" t="s">
        <v>42</v>
      </c>
      <c r="C39" s="68" t="s">
        <v>43</v>
      </c>
      <c r="D39" s="68" t="s">
        <v>36</v>
      </c>
      <c r="E39" s="68" t="s">
        <v>75</v>
      </c>
      <c r="F39" s="68" t="s">
        <v>76</v>
      </c>
      <c r="G39" s="68" t="s">
        <v>0</v>
      </c>
      <c r="H39" s="68" t="s">
        <v>1</v>
      </c>
      <c r="I39" s="68" t="s">
        <v>2</v>
      </c>
      <c r="J39" s="8"/>
      <c r="K39" s="87" t="s">
        <v>261</v>
      </c>
      <c r="L39" s="317" t="s">
        <v>262</v>
      </c>
      <c r="M39" s="317" t="s">
        <v>264</v>
      </c>
      <c r="N39" s="317" t="s">
        <v>263</v>
      </c>
      <c r="Q39" s="312"/>
    </row>
    <row r="40" spans="1:17">
      <c r="A40" s="309" t="s">
        <v>259</v>
      </c>
      <c r="B40" s="310">
        <v>6</v>
      </c>
      <c r="C40" s="310">
        <v>6</v>
      </c>
      <c r="D40" s="311">
        <v>8</v>
      </c>
      <c r="E40" s="310">
        <v>8</v>
      </c>
      <c r="F40" s="310">
        <v>8</v>
      </c>
      <c r="G40" s="310">
        <v>8</v>
      </c>
      <c r="H40" s="310">
        <v>8</v>
      </c>
      <c r="I40" s="310">
        <v>8</v>
      </c>
      <c r="J40" s="314"/>
      <c r="K40" s="315">
        <v>0.84399999999999997</v>
      </c>
      <c r="L40" s="23">
        <v>1</v>
      </c>
      <c r="M40" s="316">
        <f>1-IF(K40&lt;0,1/2*(1+ERF(-K40/(L40*2^0.5))),1/2*(1-ERF(K40/(L40*2^0.5))))</f>
        <v>0.80066529670712505</v>
      </c>
      <c r="N40" s="22">
        <f t="shared" ref="N40:N46" si="0">K40/L40</f>
        <v>0.84399999999999997</v>
      </c>
      <c r="Q40" s="313"/>
    </row>
    <row r="41" spans="1:17">
      <c r="A41" s="33" t="s">
        <v>8</v>
      </c>
      <c r="B41" s="52">
        <f>B40*VLOOKUP($F$6,$M$40:$N$46,2)</f>
        <v>7.7099999999999991</v>
      </c>
      <c r="C41" s="52">
        <f t="shared" ref="C41:I41" si="1">C40*VLOOKUP($F$6,$M$40:$N$46,2)</f>
        <v>7.7099999999999991</v>
      </c>
      <c r="D41" s="52">
        <f t="shared" si="1"/>
        <v>10.28</v>
      </c>
      <c r="E41" s="52">
        <f t="shared" si="1"/>
        <v>10.28</v>
      </c>
      <c r="F41" s="52">
        <f t="shared" si="1"/>
        <v>10.28</v>
      </c>
      <c r="G41" s="52">
        <f t="shared" si="1"/>
        <v>10.28</v>
      </c>
      <c r="H41" s="52">
        <f t="shared" si="1"/>
        <v>10.28</v>
      </c>
      <c r="I41" s="52">
        <f t="shared" si="1"/>
        <v>10.28</v>
      </c>
      <c r="J41" s="8"/>
      <c r="K41" s="315">
        <v>1.0369999999999999</v>
      </c>
      <c r="L41" s="23">
        <v>1</v>
      </c>
      <c r="M41" s="316">
        <f t="shared" ref="M41:M46" si="2">1-IF(K41&lt;0,1/2*(1+ERF(-K41/(L41*2^0.5))),1/2*(1-ERF(K41/(L41*2^0.5))))</f>
        <v>0.8501319600573306</v>
      </c>
      <c r="N41" s="22">
        <f t="shared" si="0"/>
        <v>1.0369999999999999</v>
      </c>
    </row>
    <row r="42" spans="1:17">
      <c r="A42" s="34" t="s">
        <v>9</v>
      </c>
      <c r="B42" s="52">
        <v>2</v>
      </c>
      <c r="C42" s="52">
        <f t="shared" ref="C42:I45" si="3">B42</f>
        <v>2</v>
      </c>
      <c r="D42" s="61">
        <f t="shared" si="3"/>
        <v>2</v>
      </c>
      <c r="E42" s="52">
        <f t="shared" si="3"/>
        <v>2</v>
      </c>
      <c r="F42" s="52">
        <f t="shared" si="3"/>
        <v>2</v>
      </c>
      <c r="G42" s="52">
        <f t="shared" si="3"/>
        <v>2</v>
      </c>
      <c r="H42" s="52">
        <f t="shared" si="3"/>
        <v>2</v>
      </c>
      <c r="I42" s="52">
        <f t="shared" si="3"/>
        <v>2</v>
      </c>
      <c r="J42" s="8"/>
      <c r="K42" s="315">
        <v>1.127</v>
      </c>
      <c r="L42" s="23">
        <v>1</v>
      </c>
      <c r="M42" s="316">
        <f t="shared" si="2"/>
        <v>0.87012866668433331</v>
      </c>
      <c r="N42" s="22">
        <f t="shared" si="0"/>
        <v>1.127</v>
      </c>
    </row>
    <row r="43" spans="1:17">
      <c r="A43" s="34" t="s">
        <v>152</v>
      </c>
      <c r="B43" s="36">
        <f>IF(B6=1,2,IF(B6=3,0.5,"error"))</f>
        <v>2</v>
      </c>
      <c r="C43" s="37">
        <f>B43</f>
        <v>2</v>
      </c>
      <c r="D43" s="62">
        <f t="shared" si="3"/>
        <v>2</v>
      </c>
      <c r="E43" s="37">
        <f t="shared" si="3"/>
        <v>2</v>
      </c>
      <c r="F43" s="37">
        <f t="shared" si="3"/>
        <v>2</v>
      </c>
      <c r="G43" s="37">
        <f t="shared" si="3"/>
        <v>2</v>
      </c>
      <c r="H43" s="37">
        <f t="shared" si="3"/>
        <v>2</v>
      </c>
      <c r="I43" s="37">
        <f t="shared" si="3"/>
        <v>2</v>
      </c>
      <c r="J43" s="8"/>
      <c r="K43" s="315">
        <v>1.2849999999999999</v>
      </c>
      <c r="L43" s="23">
        <v>1</v>
      </c>
      <c r="M43" s="316">
        <f t="shared" si="2"/>
        <v>0.90060381565576209</v>
      </c>
      <c r="N43" s="22">
        <f t="shared" si="0"/>
        <v>1.2849999999999999</v>
      </c>
    </row>
    <row r="44" spans="1:17">
      <c r="A44" s="34" t="s">
        <v>153</v>
      </c>
      <c r="B44" s="36">
        <f>B7</f>
        <v>6</v>
      </c>
      <c r="C44" s="37">
        <f>B7</f>
        <v>6</v>
      </c>
      <c r="D44" s="37">
        <f>D7</f>
        <v>4</v>
      </c>
      <c r="E44" s="37">
        <f>E7</f>
        <v>2</v>
      </c>
      <c r="F44" s="37">
        <f>E7</f>
        <v>2</v>
      </c>
      <c r="G44" s="37">
        <f>D7</f>
        <v>4</v>
      </c>
      <c r="H44" s="37">
        <f>E7</f>
        <v>2</v>
      </c>
      <c r="I44" s="37">
        <f>E7</f>
        <v>2</v>
      </c>
      <c r="J44" s="8"/>
      <c r="K44" s="315">
        <v>1.48</v>
      </c>
      <c r="L44" s="23">
        <v>1</v>
      </c>
      <c r="M44" s="316">
        <f t="shared" si="2"/>
        <v>0.93056335574632598</v>
      </c>
      <c r="N44" s="22">
        <f t="shared" si="0"/>
        <v>1.48</v>
      </c>
    </row>
    <row r="45" spans="1:17">
      <c r="A45" s="82" t="s">
        <v>302</v>
      </c>
      <c r="B45" s="35">
        <f>IF(F5="vehicle",C56+VLOOKUP(B3,A49:G55,3),IF(F5="Indoor-Res",D56+VLOOKUP(B3,A49:G55,4),IF(F5="Indoor-Bus",E56+VLOOKUP(B3,A49:G55,5),IF(F5="ID Basement",F56+VLOOKUP(B3,A49:G55,6),IF(F5="Indoor Vault",G56+VLOOKUP(B3,A49:G55,7),0)))))</f>
        <v>0</v>
      </c>
      <c r="C45" s="37">
        <f>B45</f>
        <v>0</v>
      </c>
      <c r="D45" s="62">
        <f t="shared" si="3"/>
        <v>0</v>
      </c>
      <c r="E45" s="37">
        <f t="shared" si="3"/>
        <v>0</v>
      </c>
      <c r="F45" s="37">
        <f t="shared" si="3"/>
        <v>0</v>
      </c>
      <c r="G45" s="37">
        <f t="shared" si="3"/>
        <v>0</v>
      </c>
      <c r="H45" s="37">
        <f t="shared" si="3"/>
        <v>0</v>
      </c>
      <c r="I45" s="37">
        <f t="shared" si="3"/>
        <v>0</v>
      </c>
      <c r="J45" s="8"/>
      <c r="K45" s="315">
        <v>1.7549999999999999</v>
      </c>
      <c r="L45" s="23">
        <v>1</v>
      </c>
      <c r="M45" s="316">
        <f t="shared" si="2"/>
        <v>0.9603703368267611</v>
      </c>
      <c r="N45" s="22">
        <f t="shared" si="0"/>
        <v>1.7549999999999999</v>
      </c>
    </row>
    <row r="46" spans="1:17">
      <c r="A46" s="84" t="s">
        <v>11</v>
      </c>
      <c r="B46" s="85">
        <f t="shared" ref="B46:I46" si="4">SUM(B41:B45)</f>
        <v>17.71</v>
      </c>
      <c r="C46" s="85">
        <f t="shared" si="4"/>
        <v>17.71</v>
      </c>
      <c r="D46" s="85">
        <f t="shared" si="4"/>
        <v>18.28</v>
      </c>
      <c r="E46" s="85">
        <f t="shared" si="4"/>
        <v>16.28</v>
      </c>
      <c r="F46" s="85">
        <f t="shared" si="4"/>
        <v>16.28</v>
      </c>
      <c r="G46" s="85">
        <f t="shared" si="4"/>
        <v>18.28</v>
      </c>
      <c r="H46" s="85">
        <f t="shared" si="4"/>
        <v>16.28</v>
      </c>
      <c r="I46" s="85">
        <f t="shared" si="4"/>
        <v>16.28</v>
      </c>
      <c r="J46" s="8"/>
      <c r="K46" s="315">
        <v>2.33</v>
      </c>
      <c r="L46" s="23">
        <v>1</v>
      </c>
      <c r="M46" s="316">
        <f t="shared" si="2"/>
        <v>0.99009692353128953</v>
      </c>
      <c r="N46" s="22">
        <f t="shared" si="0"/>
        <v>2.33</v>
      </c>
    </row>
    <row r="47" spans="1:17" ht="18.75">
      <c r="A47" s="88" t="s">
        <v>307</v>
      </c>
      <c r="B47" s="81"/>
      <c r="C47" s="81"/>
      <c r="D47" s="81"/>
      <c r="E47" s="81"/>
      <c r="F47" s="81"/>
      <c r="G47" s="74"/>
      <c r="H47" s="86"/>
      <c r="I47" s="86"/>
      <c r="J47" s="8"/>
    </row>
    <row r="48" spans="1:17" ht="30">
      <c r="A48" s="157" t="s">
        <v>105</v>
      </c>
      <c r="B48" s="333" t="s">
        <v>24</v>
      </c>
      <c r="C48" s="334" t="s">
        <v>82</v>
      </c>
      <c r="D48" s="333" t="s">
        <v>78</v>
      </c>
      <c r="E48" s="333" t="s">
        <v>81</v>
      </c>
      <c r="F48" s="333" t="s">
        <v>79</v>
      </c>
      <c r="G48" s="333" t="s">
        <v>80</v>
      </c>
      <c r="H48" s="86"/>
      <c r="I48" s="86"/>
      <c r="J48" s="8"/>
    </row>
    <row r="49" spans="1:13">
      <c r="A49" s="151">
        <v>700</v>
      </c>
      <c r="B49" s="152">
        <v>0</v>
      </c>
      <c r="C49" s="335">
        <v>9</v>
      </c>
      <c r="D49" s="336">
        <v>7.5</v>
      </c>
      <c r="E49" s="338">
        <v>10</v>
      </c>
      <c r="F49" s="336">
        <v>17</v>
      </c>
      <c r="G49" s="336">
        <v>27</v>
      </c>
      <c r="H49" s="278"/>
      <c r="I49" s="86"/>
      <c r="J49" s="8"/>
    </row>
    <row r="50" spans="1:13">
      <c r="A50" s="54">
        <v>1000</v>
      </c>
      <c r="B50" s="25">
        <v>0</v>
      </c>
      <c r="C50" s="345">
        <v>9</v>
      </c>
      <c r="D50" s="337">
        <v>7.7</v>
      </c>
      <c r="E50" s="339">
        <v>13</v>
      </c>
      <c r="F50" s="337">
        <v>18</v>
      </c>
      <c r="G50" s="337">
        <v>28</v>
      </c>
      <c r="H50" s="278" t="s">
        <v>229</v>
      </c>
      <c r="I50" s="86"/>
      <c r="J50" s="8"/>
    </row>
    <row r="51" spans="1:13">
      <c r="A51" s="54">
        <v>2000</v>
      </c>
      <c r="B51" s="25">
        <f>B50</f>
        <v>0</v>
      </c>
      <c r="C51" s="345">
        <v>9</v>
      </c>
      <c r="D51" s="337">
        <v>11.6</v>
      </c>
      <c r="E51" s="339">
        <v>20</v>
      </c>
      <c r="F51" s="336">
        <v>24</v>
      </c>
      <c r="G51" s="336">
        <v>30</v>
      </c>
      <c r="H51" s="279" t="s">
        <v>306</v>
      </c>
      <c r="I51" s="86"/>
      <c r="J51" s="8"/>
    </row>
    <row r="52" spans="1:13">
      <c r="A52" s="54">
        <v>3000</v>
      </c>
      <c r="B52" s="25">
        <f>B51</f>
        <v>0</v>
      </c>
      <c r="C52" s="345">
        <v>9</v>
      </c>
      <c r="D52" s="336">
        <v>13</v>
      </c>
      <c r="E52" s="338">
        <v>24</v>
      </c>
      <c r="F52" s="336">
        <v>28</v>
      </c>
      <c r="G52" s="336">
        <v>32</v>
      </c>
      <c r="H52" s="86"/>
      <c r="I52" s="86"/>
      <c r="J52" s="8"/>
    </row>
    <row r="53" spans="1:13">
      <c r="A53" s="55">
        <v>4000</v>
      </c>
      <c r="B53" s="25">
        <f>B52</f>
        <v>0</v>
      </c>
      <c r="C53" s="335">
        <v>9</v>
      </c>
      <c r="D53" s="336">
        <v>14</v>
      </c>
      <c r="E53" s="338">
        <v>27</v>
      </c>
      <c r="F53" s="336">
        <v>30</v>
      </c>
      <c r="G53" s="336">
        <v>34</v>
      </c>
      <c r="H53" s="86"/>
      <c r="I53" s="86"/>
      <c r="J53" s="8"/>
    </row>
    <row r="54" spans="1:13">
      <c r="A54" s="55">
        <v>5000</v>
      </c>
      <c r="B54" s="25">
        <f>B53</f>
        <v>0</v>
      </c>
      <c r="C54" s="335">
        <v>9</v>
      </c>
      <c r="D54" s="336">
        <v>15</v>
      </c>
      <c r="E54" s="338">
        <v>29</v>
      </c>
      <c r="F54" s="336">
        <v>31</v>
      </c>
      <c r="G54" s="336">
        <v>35</v>
      </c>
      <c r="H54" s="86"/>
      <c r="I54" s="86"/>
      <c r="J54" s="8"/>
    </row>
    <row r="55" spans="1:13">
      <c r="A55" s="55">
        <v>6000</v>
      </c>
      <c r="B55" s="25">
        <f>B54</f>
        <v>0</v>
      </c>
      <c r="C55" s="335">
        <v>9</v>
      </c>
      <c r="D55" s="337">
        <v>16.2</v>
      </c>
      <c r="E55" s="338">
        <v>31</v>
      </c>
      <c r="F55" s="337">
        <v>31.5</v>
      </c>
      <c r="G55" s="336">
        <v>36</v>
      </c>
      <c r="H55" s="86"/>
      <c r="I55" s="6"/>
      <c r="J55" s="8"/>
    </row>
    <row r="56" spans="1:13">
      <c r="A56" s="84" t="s">
        <v>308</v>
      </c>
      <c r="B56" s="85">
        <v>0</v>
      </c>
      <c r="C56" s="340">
        <v>5</v>
      </c>
      <c r="D56" s="340">
        <v>5</v>
      </c>
      <c r="E56" s="340">
        <v>6</v>
      </c>
      <c r="F56" s="340">
        <v>6</v>
      </c>
      <c r="G56" s="340">
        <v>8</v>
      </c>
    </row>
    <row r="57" spans="1:13" ht="15.75">
      <c r="A57" s="48" t="s">
        <v>28</v>
      </c>
      <c r="B57" s="49"/>
      <c r="C57" s="49"/>
      <c r="D57" s="50" t="s">
        <v>29</v>
      </c>
      <c r="E57" s="49"/>
      <c r="F57" s="49"/>
      <c r="G57" s="49"/>
      <c r="H57" s="51"/>
      <c r="I57" s="51"/>
      <c r="J57" s="51"/>
      <c r="K57" s="51"/>
      <c r="L57" s="60"/>
      <c r="M57" s="60"/>
    </row>
    <row r="58" spans="1:13" ht="18.75">
      <c r="A58" s="4" t="s">
        <v>7</v>
      </c>
      <c r="B58" s="6"/>
      <c r="C58" s="6"/>
      <c r="D58" s="6"/>
      <c r="E58" s="6"/>
      <c r="F58" s="6"/>
      <c r="G58" s="6"/>
      <c r="H58" s="6"/>
      <c r="I58" s="6"/>
      <c r="J58" s="6"/>
      <c r="K58" s="6"/>
    </row>
    <row r="59" spans="1:13" ht="18.75">
      <c r="A59" s="4" t="s">
        <v>12</v>
      </c>
      <c r="B59" s="6"/>
      <c r="C59" s="6"/>
      <c r="D59" s="6"/>
      <c r="E59" s="6"/>
      <c r="F59" s="6"/>
      <c r="G59" s="6"/>
      <c r="H59" s="6"/>
      <c r="I59" s="6"/>
      <c r="J59" s="6"/>
      <c r="K59" s="6"/>
    </row>
    <row r="60" spans="1:13" ht="18.75">
      <c r="A60" s="16" t="s">
        <v>26</v>
      </c>
      <c r="B60" s="6"/>
      <c r="C60" s="6"/>
      <c r="D60" s="6"/>
      <c r="E60" s="6"/>
      <c r="F60" s="6"/>
      <c r="G60" s="6"/>
      <c r="H60" s="6"/>
      <c r="I60" s="6"/>
      <c r="J60" s="6"/>
      <c r="K60" s="6"/>
    </row>
    <row r="61" spans="1:13">
      <c r="A61" s="6"/>
      <c r="B61" s="40"/>
      <c r="C61" s="6"/>
      <c r="D61" s="41" t="s">
        <v>15</v>
      </c>
      <c r="E61" s="42">
        <f>H7</f>
        <v>4</v>
      </c>
      <c r="F61" s="11" t="s">
        <v>0</v>
      </c>
      <c r="G61" s="6"/>
      <c r="H61" s="11" t="s">
        <v>1</v>
      </c>
      <c r="I61" s="6"/>
      <c r="J61" s="11" t="s">
        <v>2</v>
      </c>
      <c r="K61" s="6"/>
    </row>
    <row r="62" spans="1:13">
      <c r="A62" s="6"/>
      <c r="B62" s="41" t="s">
        <v>13</v>
      </c>
      <c r="C62" s="5">
        <f>B3</f>
        <v>2450</v>
      </c>
      <c r="E62" s="41" t="s">
        <v>108</v>
      </c>
      <c r="F62" s="41" t="s">
        <v>109</v>
      </c>
      <c r="G62" s="46">
        <f>(6+6*(1+G64*$E61/$C64)*LOG10(2))</f>
        <v>12.553853048455819</v>
      </c>
      <c r="H62" s="41" t="s">
        <v>109</v>
      </c>
      <c r="I62" s="46">
        <f>(6+6*(1+I64*$E61/$C64)*LOG10(2))</f>
        <v>11.934591343089917</v>
      </c>
      <c r="J62" s="41" t="s">
        <v>109</v>
      </c>
      <c r="K62" s="46">
        <f>(6+6*(1+K64*$E61/$C64)*LOG10(2))</f>
        <v>11.521750206179313</v>
      </c>
    </row>
    <row r="63" spans="1:13">
      <c r="A63" s="6"/>
      <c r="B63" s="19" t="s">
        <v>16</v>
      </c>
      <c r="C63" s="20">
        <f>300/C62</f>
        <v>0.12244897959183673</v>
      </c>
      <c r="D63" s="6"/>
      <c r="E63" s="41" t="s">
        <v>107</v>
      </c>
      <c r="F63" s="41" t="s">
        <v>17</v>
      </c>
      <c r="G63" s="46">
        <f>10*(4.6-0.0075*$C64+12.6/$C64)</f>
        <v>63.474999999999994</v>
      </c>
      <c r="H63" s="41" t="s">
        <v>17</v>
      </c>
      <c r="I63" s="5">
        <f>10*(4-0.0065*$C64+17.1/$C64)</f>
        <v>63.973571428571425</v>
      </c>
      <c r="J63" s="41" t="s">
        <v>17</v>
      </c>
      <c r="K63" s="46">
        <f>10*(3.6-0.005*$C64+20/$C64)</f>
        <v>64.221428571428575</v>
      </c>
    </row>
    <row r="64" spans="1:13" ht="18">
      <c r="A64" s="6"/>
      <c r="B64" s="41" t="s">
        <v>18</v>
      </c>
      <c r="C64" s="5">
        <f>F3</f>
        <v>7</v>
      </c>
      <c r="D64" s="41" t="s">
        <v>10</v>
      </c>
      <c r="E64" s="5">
        <v>100</v>
      </c>
      <c r="F64" s="43" t="s">
        <v>19</v>
      </c>
      <c r="G64" s="44">
        <v>4.5999999999999996</v>
      </c>
      <c r="H64" s="43" t="s">
        <v>19</v>
      </c>
      <c r="I64" s="44">
        <v>4</v>
      </c>
      <c r="J64" s="43" t="s">
        <v>19</v>
      </c>
      <c r="K64" s="44">
        <v>3.6</v>
      </c>
    </row>
    <row r="65" spans="1:13">
      <c r="A65" s="6"/>
      <c r="B65" s="41" t="s">
        <v>21</v>
      </c>
      <c r="C65" s="5">
        <f>F4</f>
        <v>2</v>
      </c>
      <c r="D65" s="6"/>
      <c r="E65" s="41"/>
      <c r="F65" s="41" t="s">
        <v>20</v>
      </c>
      <c r="G65" s="5">
        <v>10.8</v>
      </c>
      <c r="H65" s="41" t="s">
        <v>20</v>
      </c>
      <c r="I65" s="5">
        <v>10.8</v>
      </c>
      <c r="J65" s="41" t="s">
        <v>20</v>
      </c>
      <c r="K65" s="44">
        <v>20</v>
      </c>
    </row>
    <row r="66" spans="1:13" ht="18">
      <c r="A66" s="6"/>
      <c r="B66" s="6"/>
      <c r="C66" s="6"/>
      <c r="D66" s="11" t="s">
        <v>68</v>
      </c>
      <c r="E66" s="11" t="s">
        <v>27</v>
      </c>
      <c r="F66" s="11" t="s">
        <v>22</v>
      </c>
      <c r="G66" s="11" t="s">
        <v>25</v>
      </c>
      <c r="H66" s="11" t="s">
        <v>22</v>
      </c>
      <c r="I66" s="11" t="s">
        <v>25</v>
      </c>
      <c r="J66" s="11" t="s">
        <v>22</v>
      </c>
      <c r="K66" s="11" t="s">
        <v>25</v>
      </c>
    </row>
    <row r="67" spans="1:13">
      <c r="A67" s="6"/>
      <c r="B67" s="6"/>
      <c r="C67" s="6"/>
      <c r="D67" s="287">
        <f>B4</f>
        <v>133.27940008672039</v>
      </c>
      <c r="E67" s="12">
        <f>20*LOG10(4*PI()*$E64/C63)</f>
        <v>80.225093873339333</v>
      </c>
      <c r="F67" s="13">
        <f>D67-G46</f>
        <v>114.99940008672039</v>
      </c>
      <c r="G67" s="12">
        <f>$E64*10^(($F67-$E67-6*(1+G$64*$E61/$C64)*LOG10($C62/2000)+G$65*LOG10($C65/2))/G$63)/1000</f>
        <v>0.32931579887470902</v>
      </c>
      <c r="H67" s="13">
        <f>D67-H46</f>
        <v>116.99940008672039</v>
      </c>
      <c r="I67" s="12">
        <f>$E64*10^(($H67-$E67-6*(1+I$64*$E61/$C64)*LOG10($C62/2000)+I$65*LOG10($C65/2))/I$63)/1000</f>
        <v>0.35291948129038198</v>
      </c>
      <c r="J67" s="13">
        <f>D67-I46</f>
        <v>116.99940008672039</v>
      </c>
      <c r="K67" s="12">
        <f>$E64*10^(($J67-$E67-6*(1+K$64*$E61/$C64)*LOG10($C62/2000)+K$65*LOG10($C65/2))/K$63)/1000</f>
        <v>0.35273133607005103</v>
      </c>
    </row>
    <row r="68" spans="1:13" ht="15.75">
      <c r="A68" s="48" t="s">
        <v>103</v>
      </c>
      <c r="B68" s="49"/>
      <c r="C68" s="49"/>
      <c r="D68" s="50" t="s">
        <v>104</v>
      </c>
      <c r="E68" s="49"/>
      <c r="F68" s="49"/>
      <c r="G68" s="49"/>
      <c r="H68" s="51"/>
      <c r="I68" s="51"/>
      <c r="J68" s="51"/>
      <c r="K68" s="51"/>
      <c r="L68" s="60"/>
      <c r="M68" s="60"/>
    </row>
    <row r="69" spans="1:13">
      <c r="A69" s="6"/>
      <c r="B69" s="6"/>
      <c r="C69" s="6"/>
      <c r="D69" s="41" t="s">
        <v>15</v>
      </c>
      <c r="E69" s="5">
        <v>0</v>
      </c>
      <c r="F69" s="11" t="s">
        <v>0</v>
      </c>
      <c r="G69" s="6"/>
      <c r="H69" s="11" t="s">
        <v>1</v>
      </c>
      <c r="I69" s="6"/>
      <c r="J69" s="11" t="s">
        <v>2</v>
      </c>
      <c r="K69" s="12"/>
    </row>
    <row r="70" spans="1:13">
      <c r="A70" s="6"/>
      <c r="B70" s="41" t="s">
        <v>13</v>
      </c>
      <c r="C70" s="5">
        <f>C62</f>
        <v>2450</v>
      </c>
      <c r="E70" s="41" t="s">
        <v>108</v>
      </c>
      <c r="F70" s="41" t="s">
        <v>109</v>
      </c>
      <c r="G70" s="46">
        <f>(6+6*(1+G72*$E69/$C72)*LOG10(2))</f>
        <v>7.8061799739838875</v>
      </c>
      <c r="H70" s="41" t="s">
        <v>109</v>
      </c>
      <c r="I70" s="46">
        <f>(6+6*(1+I72*$E69/$C72)*LOG10(2))</f>
        <v>7.8061799739838875</v>
      </c>
      <c r="J70" s="41" t="s">
        <v>109</v>
      </c>
      <c r="K70" s="46">
        <f>(6+6*(1+K72*$E69/$C72)*LOG10(2))</f>
        <v>7.8061799739838875</v>
      </c>
    </row>
    <row r="71" spans="1:13">
      <c r="A71" s="6"/>
      <c r="B71" s="19" t="s">
        <v>16</v>
      </c>
      <c r="C71" s="20">
        <f>300/C70</f>
        <v>0.12244897959183673</v>
      </c>
      <c r="D71" s="6"/>
      <c r="E71" s="41" t="s">
        <v>107</v>
      </c>
      <c r="F71" s="41" t="s">
        <v>17</v>
      </c>
      <c r="G71" s="46">
        <f>10*(4.6-0.0075*$C72+12.6/$C72)</f>
        <v>63.474999999999994</v>
      </c>
      <c r="H71" s="41" t="s">
        <v>17</v>
      </c>
      <c r="I71" s="5">
        <f>10*(4-0.0065*$C72+17.1/$C72)</f>
        <v>63.973571428571425</v>
      </c>
      <c r="J71" s="41" t="s">
        <v>17</v>
      </c>
      <c r="K71" s="46">
        <f>10*(3.6-0.005*$C72+20/$C72)</f>
        <v>64.221428571428575</v>
      </c>
    </row>
    <row r="72" spans="1:13" ht="18">
      <c r="A72" s="6"/>
      <c r="B72" s="41" t="s">
        <v>18</v>
      </c>
      <c r="C72" s="5">
        <f>C64</f>
        <v>7</v>
      </c>
      <c r="D72" s="41" t="s">
        <v>10</v>
      </c>
      <c r="E72" s="5">
        <v>100</v>
      </c>
      <c r="F72" s="43" t="s">
        <v>19</v>
      </c>
      <c r="G72" s="44">
        <v>4.5999999999999996</v>
      </c>
      <c r="H72" s="43" t="s">
        <v>19</v>
      </c>
      <c r="I72" s="44">
        <v>4</v>
      </c>
      <c r="J72" s="43" t="s">
        <v>19</v>
      </c>
      <c r="K72" s="44">
        <v>3.6</v>
      </c>
    </row>
    <row r="73" spans="1:13">
      <c r="A73" s="6"/>
      <c r="B73" s="41" t="s">
        <v>21</v>
      </c>
      <c r="C73" s="5">
        <f>C65</f>
        <v>2</v>
      </c>
      <c r="D73" s="6"/>
      <c r="E73" s="41"/>
      <c r="F73" s="41" t="s">
        <v>20</v>
      </c>
      <c r="G73" s="5">
        <v>10.8</v>
      </c>
      <c r="H73" s="41" t="s">
        <v>20</v>
      </c>
      <c r="I73" s="5">
        <v>10.8</v>
      </c>
      <c r="J73" s="41" t="s">
        <v>20</v>
      </c>
      <c r="K73" s="44">
        <v>20</v>
      </c>
    </row>
    <row r="74" spans="1:13" ht="18">
      <c r="A74" s="6"/>
      <c r="B74" s="41"/>
      <c r="C74" s="6"/>
      <c r="D74" s="11" t="s">
        <v>68</v>
      </c>
      <c r="E74" s="11" t="s">
        <v>27</v>
      </c>
      <c r="F74" s="11" t="s">
        <v>22</v>
      </c>
      <c r="G74" s="11" t="s">
        <v>25</v>
      </c>
      <c r="H74" s="11" t="s">
        <v>22</v>
      </c>
      <c r="I74" s="11" t="s">
        <v>25</v>
      </c>
      <c r="J74" s="11" t="s">
        <v>22</v>
      </c>
      <c r="K74" s="11" t="s">
        <v>25</v>
      </c>
    </row>
    <row r="75" spans="1:13">
      <c r="A75" s="6"/>
      <c r="B75" s="41"/>
      <c r="C75" s="6"/>
      <c r="D75" s="8">
        <f>D67</f>
        <v>133.27940008672039</v>
      </c>
      <c r="E75" s="12">
        <f>20*LOG10(4*PI()*$E72/C71)</f>
        <v>80.225093873339333</v>
      </c>
      <c r="F75" s="13">
        <f>D75-G46</f>
        <v>114.99940008672039</v>
      </c>
      <c r="G75" s="12">
        <f>$E72*10^(($F75-$E75-6*(1+G$64*$E69/$C72)*LOG10($C70/2000)+G$65*LOG10($C73/2))/G$63)/1000</f>
        <v>0.34634702071862672</v>
      </c>
      <c r="H75" s="13">
        <f>D75-H46</f>
        <v>116.99940008672039</v>
      </c>
      <c r="I75" s="12">
        <f>$E72*10^(($H75-$E75-6*(1+I$64*$E69/$C72)*LOG10($C70/2000)+I$65*LOG10($C73/2))/I$63)/1000</f>
        <v>0.3686122290308943</v>
      </c>
      <c r="J75" s="13">
        <f>D75-I46</f>
        <v>116.99940008672039</v>
      </c>
      <c r="K75" s="12">
        <f>$E72*10^(($J75-$E75-6*(1+K$64*$E69/$C72)*LOG10($C70/2000)+K$65*LOG10($C73/2))/K$63)/1000</f>
        <v>0.36676096899960448</v>
      </c>
    </row>
    <row r="76" spans="1:13">
      <c r="A76" s="6"/>
      <c r="B76" s="6"/>
      <c r="C76" s="6"/>
      <c r="D76" s="8"/>
      <c r="E76" s="12"/>
      <c r="F76" s="13"/>
      <c r="G76" s="12"/>
      <c r="H76" s="13"/>
      <c r="I76" s="12"/>
      <c r="J76" s="13"/>
      <c r="K76" s="12"/>
      <c r="L76" s="97">
        <f>(G75-G76)/(F75-F76)</f>
        <v>3.0117289347374719E-3</v>
      </c>
    </row>
    <row r="77" spans="1:13" ht="15.75">
      <c r="A77" s="48" t="s">
        <v>31</v>
      </c>
      <c r="B77" s="50"/>
      <c r="C77" s="51"/>
      <c r="D77" s="50" t="s">
        <v>37</v>
      </c>
      <c r="E77" s="51"/>
      <c r="F77" s="51"/>
      <c r="G77" s="51"/>
      <c r="H77" s="51"/>
      <c r="I77" s="51"/>
      <c r="J77" s="51"/>
      <c r="K77" s="51"/>
      <c r="L77" s="60"/>
      <c r="M77" s="60"/>
    </row>
    <row r="78" spans="1:13">
      <c r="A78" s="10" t="s">
        <v>32</v>
      </c>
      <c r="B78" s="6"/>
      <c r="C78" s="6"/>
      <c r="D78" s="6"/>
      <c r="E78" s="6"/>
      <c r="F78" s="6"/>
      <c r="G78" s="6"/>
      <c r="H78" s="6"/>
      <c r="I78" s="6"/>
      <c r="J78" s="6"/>
      <c r="K78" s="6"/>
    </row>
    <row r="79" spans="1:13" ht="17.25">
      <c r="A79" s="10" t="s">
        <v>33</v>
      </c>
      <c r="B79" s="6"/>
      <c r="C79" s="6"/>
      <c r="D79" s="6"/>
      <c r="E79" s="6"/>
      <c r="F79" s="6"/>
      <c r="G79" s="6"/>
      <c r="H79" s="6"/>
      <c r="I79" s="6"/>
      <c r="J79" s="6"/>
      <c r="K79" s="6"/>
    </row>
    <row r="80" spans="1:13">
      <c r="A80" s="10" t="s">
        <v>41</v>
      </c>
      <c r="B80" s="6"/>
      <c r="C80" s="6"/>
      <c r="D80" s="6"/>
      <c r="E80" s="6"/>
      <c r="F80" s="6"/>
      <c r="G80" s="6"/>
      <c r="H80" s="6"/>
      <c r="I80" s="6"/>
      <c r="J80" s="6"/>
      <c r="K80" s="6"/>
    </row>
    <row r="81" spans="1:13" ht="16.5">
      <c r="A81" s="26" t="s">
        <v>34</v>
      </c>
      <c r="B81" s="6"/>
      <c r="C81" s="6"/>
      <c r="D81" s="6"/>
      <c r="E81" s="6"/>
      <c r="F81" s="6"/>
      <c r="G81" s="6"/>
      <c r="H81" s="6"/>
      <c r="I81" s="6"/>
      <c r="J81" s="6"/>
      <c r="K81" s="6"/>
    </row>
    <row r="82" spans="1:13">
      <c r="A82" s="10" t="s">
        <v>84</v>
      </c>
      <c r="B82" s="6"/>
      <c r="C82" s="6"/>
      <c r="D82" s="6"/>
      <c r="E82" s="6"/>
      <c r="F82" s="6"/>
      <c r="G82" s="6"/>
      <c r="H82" s="6"/>
      <c r="I82" s="6"/>
      <c r="J82" s="6"/>
      <c r="K82" s="6"/>
    </row>
    <row r="83" spans="1:13" ht="17.25">
      <c r="A83" s="10" t="s">
        <v>85</v>
      </c>
      <c r="B83" s="6"/>
      <c r="C83" s="6"/>
      <c r="D83" s="6"/>
      <c r="E83" s="6"/>
      <c r="F83" s="6"/>
      <c r="G83" s="6"/>
      <c r="H83" s="6"/>
      <c r="I83" s="6"/>
      <c r="J83" s="6"/>
      <c r="K83" s="6"/>
    </row>
    <row r="84" spans="1:13" ht="30">
      <c r="A84" s="16" t="s">
        <v>38</v>
      </c>
      <c r="B84" s="6"/>
      <c r="C84" s="6"/>
      <c r="D84" s="6"/>
      <c r="E84" s="6"/>
      <c r="F84" s="45" t="s">
        <v>42</v>
      </c>
      <c r="G84" s="6"/>
      <c r="H84" s="45" t="s">
        <v>43</v>
      </c>
      <c r="I84" s="6"/>
      <c r="J84" s="45" t="s">
        <v>36</v>
      </c>
      <c r="K84" s="6"/>
    </row>
    <row r="85" spans="1:13">
      <c r="A85" s="6"/>
      <c r="B85" s="41" t="s">
        <v>13</v>
      </c>
      <c r="C85" s="5">
        <f>B3</f>
        <v>2450</v>
      </c>
      <c r="D85" s="6"/>
      <c r="E85" s="41" t="s">
        <v>108</v>
      </c>
      <c r="F85" s="41" t="s">
        <v>109</v>
      </c>
      <c r="G85" s="46">
        <f>26.16*LOG10(2)</f>
        <v>7.8749446865697479</v>
      </c>
      <c r="H85" s="41" t="s">
        <v>109</v>
      </c>
      <c r="I85" s="46">
        <f>(26.16-1.56)*LOG10(2)</f>
        <v>7.4053378933339378</v>
      </c>
      <c r="J85" s="41" t="s">
        <v>109</v>
      </c>
      <c r="K85" s="89">
        <f>26.16*LOG10(2)-2*(LOG10(2/28))^2</f>
        <v>5.2477257382344353</v>
      </c>
    </row>
    <row r="86" spans="1:13">
      <c r="A86" s="6"/>
      <c r="B86" s="19" t="s">
        <v>16</v>
      </c>
      <c r="C86" s="20">
        <f>300/C85</f>
        <v>0.12244897959183673</v>
      </c>
      <c r="D86" s="6"/>
      <c r="E86" s="41" t="s">
        <v>107</v>
      </c>
      <c r="F86" s="41" t="s">
        <v>17</v>
      </c>
      <c r="G86" s="46">
        <f>44.9-6.55*LOG10($C87)</f>
        <v>39.364607837906618</v>
      </c>
      <c r="H86" s="41" t="s">
        <v>17</v>
      </c>
      <c r="I86" s="46">
        <f>44.9-6.55*LOG10($C87)</f>
        <v>39.364607837906618</v>
      </c>
      <c r="J86" s="41" t="s">
        <v>17</v>
      </c>
      <c r="K86" s="46">
        <f>44.9-6.55*LOG10($C87)</f>
        <v>39.364607837906618</v>
      </c>
    </row>
    <row r="87" spans="1:13" ht="17.25">
      <c r="A87" s="6"/>
      <c r="B87" s="41" t="s">
        <v>18</v>
      </c>
      <c r="C87" s="5">
        <f>F3</f>
        <v>7</v>
      </c>
      <c r="D87" s="6"/>
      <c r="E87" s="6"/>
      <c r="F87" s="6"/>
      <c r="G87" s="6"/>
      <c r="H87" s="6"/>
      <c r="I87" s="6"/>
      <c r="J87" s="28" t="s">
        <v>40</v>
      </c>
      <c r="K87" s="46">
        <f>2*(LOG10(C85/28))^2+5.4</f>
        <v>12.942790556007031</v>
      </c>
    </row>
    <row r="88" spans="1:13">
      <c r="A88" s="6"/>
      <c r="B88" s="41" t="s">
        <v>21</v>
      </c>
      <c r="C88" s="5">
        <f>F4</f>
        <v>2</v>
      </c>
      <c r="D88" s="6"/>
      <c r="E88" s="27"/>
      <c r="F88" s="27" t="s">
        <v>39</v>
      </c>
      <c r="G88" s="46">
        <f>3.2*(LOG10(11.75*$C88))^2-4.97</f>
        <v>1.0454466654540449</v>
      </c>
      <c r="H88" s="27" t="s">
        <v>39</v>
      </c>
      <c r="I88" s="46">
        <f>(1.1*LOG10($C85)-0.7)*$C88-(1.56*LOG($C85)-0.8)</f>
        <v>1.5690662939933002</v>
      </c>
      <c r="J88" s="27" t="s">
        <v>39</v>
      </c>
      <c r="K88" s="46">
        <f>(1.1*LOG10($C85)-0.7)*$C88-(1.56*LOG($C85)-0.8)</f>
        <v>1.5690662939933002</v>
      </c>
    </row>
    <row r="89" spans="1:13">
      <c r="A89" s="6"/>
      <c r="B89" s="6"/>
      <c r="C89" s="6"/>
      <c r="D89" s="11" t="s">
        <v>68</v>
      </c>
      <c r="E89" s="11"/>
      <c r="F89" s="11" t="s">
        <v>22</v>
      </c>
      <c r="G89" s="11" t="s">
        <v>25</v>
      </c>
      <c r="H89" s="11" t="s">
        <v>22</v>
      </c>
      <c r="I89" s="11" t="s">
        <v>25</v>
      </c>
      <c r="J89" s="11" t="s">
        <v>22</v>
      </c>
      <c r="K89" s="11" t="s">
        <v>25</v>
      </c>
    </row>
    <row r="90" spans="1:13">
      <c r="A90" s="6"/>
      <c r="B90" s="6"/>
      <c r="C90" s="6"/>
      <c r="D90" s="8">
        <f>B4</f>
        <v>133.27940008672039</v>
      </c>
      <c r="E90" s="6"/>
      <c r="F90" s="13">
        <f>D90-B46</f>
        <v>115.56940008672038</v>
      </c>
      <c r="G90" s="12">
        <f>10^(($F90-69.55-26.16*LOG10($C85)+13.82*LOG10($C87)+G88)/(G86))</f>
        <v>0.17378637368433994</v>
      </c>
      <c r="H90" s="13">
        <f>D90-C46</f>
        <v>115.56940008672038</v>
      </c>
      <c r="I90" s="12">
        <f>10^(($F90-69.55-26.16*LOG10($C85)+13.82*LOG10($C87)+I88)/(I86))</f>
        <v>0.17919154256555522</v>
      </c>
      <c r="J90" s="12">
        <f>D90-D46</f>
        <v>114.99940008672039</v>
      </c>
      <c r="K90" s="12">
        <f>10^(($F90-69.55-26.16*LOG10($C85)+13.82*LOG10($C87)+K88+K87)/(K86))</f>
        <v>0.38204109180870582</v>
      </c>
    </row>
    <row r="91" spans="1:13">
      <c r="A91" s="6"/>
      <c r="B91" s="6"/>
      <c r="C91" s="6"/>
      <c r="D91" s="6"/>
      <c r="E91" s="6"/>
      <c r="F91" s="6"/>
      <c r="G91" s="6"/>
      <c r="H91" s="6"/>
      <c r="I91" s="6"/>
      <c r="J91" s="6"/>
      <c r="K91" s="6"/>
    </row>
    <row r="92" spans="1:13" ht="15.75">
      <c r="A92" s="48" t="s">
        <v>44</v>
      </c>
      <c r="B92" s="50"/>
      <c r="C92" s="51"/>
      <c r="D92" s="50" t="s">
        <v>45</v>
      </c>
      <c r="E92" s="51"/>
      <c r="F92" s="51"/>
      <c r="G92" s="51"/>
      <c r="H92" s="51"/>
      <c r="I92" s="51"/>
      <c r="J92" s="51"/>
      <c r="K92" s="51"/>
      <c r="L92" s="60"/>
      <c r="M92" s="60"/>
    </row>
    <row r="93" spans="1:13">
      <c r="A93" s="10" t="s">
        <v>47</v>
      </c>
      <c r="B93" s="6"/>
      <c r="C93" s="6"/>
      <c r="D93" s="6"/>
      <c r="E93" s="6"/>
      <c r="F93" s="6"/>
      <c r="G93" s="6"/>
      <c r="H93" s="6" t="s">
        <v>51</v>
      </c>
      <c r="J93" s="6"/>
      <c r="K93" s="6"/>
    </row>
    <row r="94" spans="1:13">
      <c r="A94" s="10" t="s">
        <v>48</v>
      </c>
      <c r="B94" s="6"/>
      <c r="C94" s="6"/>
      <c r="D94" s="6"/>
      <c r="E94" s="6"/>
      <c r="F94" s="6"/>
      <c r="G94" s="6"/>
      <c r="H94" s="6"/>
      <c r="I94" s="6"/>
      <c r="J94" s="6"/>
      <c r="K94" s="6"/>
    </row>
    <row r="95" spans="1:13">
      <c r="A95" s="10" t="s">
        <v>49</v>
      </c>
      <c r="B95" s="6"/>
      <c r="C95" s="6"/>
      <c r="D95" s="6"/>
      <c r="E95" s="6"/>
      <c r="F95" s="6"/>
      <c r="G95" s="6"/>
      <c r="H95" s="6"/>
      <c r="I95" s="6"/>
      <c r="J95" s="6"/>
      <c r="K95" s="6"/>
    </row>
    <row r="96" spans="1:13">
      <c r="A96" s="10" t="s">
        <v>50</v>
      </c>
      <c r="B96" s="6"/>
      <c r="C96" s="6"/>
      <c r="D96" s="6"/>
      <c r="E96" s="6"/>
      <c r="F96" s="6"/>
      <c r="G96" s="6"/>
      <c r="H96" s="6"/>
      <c r="I96" s="6"/>
      <c r="J96" s="6"/>
      <c r="K96" s="6"/>
    </row>
    <row r="97" spans="1:13">
      <c r="A97" s="10" t="s">
        <v>46</v>
      </c>
      <c r="B97" s="6"/>
      <c r="C97" s="6"/>
      <c r="D97" s="6"/>
      <c r="E97" s="6"/>
      <c r="F97" s="6"/>
      <c r="G97" s="6"/>
      <c r="H97" s="6"/>
      <c r="I97" s="6"/>
      <c r="J97" s="6"/>
      <c r="K97" s="6"/>
    </row>
    <row r="98" spans="1:13">
      <c r="A98" s="10" t="s">
        <v>86</v>
      </c>
      <c r="B98" s="6"/>
      <c r="C98" s="6"/>
      <c r="D98" s="6"/>
      <c r="E98" s="6"/>
      <c r="F98" s="6"/>
      <c r="G98" s="6"/>
      <c r="H98" s="6"/>
      <c r="I98" s="6"/>
      <c r="J98" s="6"/>
      <c r="K98" s="6"/>
    </row>
    <row r="99" spans="1:13">
      <c r="A99" s="6"/>
      <c r="B99" s="6"/>
      <c r="C99" s="6"/>
      <c r="D99" s="6"/>
      <c r="E99" s="6"/>
      <c r="F99" s="6"/>
      <c r="G99" s="11" t="s">
        <v>35</v>
      </c>
      <c r="H99" s="6"/>
      <c r="I99" s="11" t="s">
        <v>36</v>
      </c>
      <c r="J99" s="6"/>
      <c r="K99" s="11" t="s">
        <v>76</v>
      </c>
    </row>
    <row r="100" spans="1:13">
      <c r="A100" s="6"/>
      <c r="B100" s="41" t="s">
        <v>13</v>
      </c>
      <c r="C100" s="5">
        <f>B3</f>
        <v>2450</v>
      </c>
      <c r="D100" s="6"/>
      <c r="E100" s="41" t="s">
        <v>108</v>
      </c>
      <c r="F100" s="41" t="s">
        <v>109</v>
      </c>
      <c r="G100" s="46">
        <f>23*LOG10(2)</f>
        <v>6.9236899002715679</v>
      </c>
      <c r="H100" s="41" t="s">
        <v>109</v>
      </c>
      <c r="I100" s="46">
        <f>G100</f>
        <v>6.9236899002715679</v>
      </c>
      <c r="J100" s="41" t="s">
        <v>109</v>
      </c>
      <c r="K100" s="46">
        <f>21.3*LOG10(2)</f>
        <v>6.4119389076428002</v>
      </c>
    </row>
    <row r="101" spans="1:13">
      <c r="A101" s="6"/>
      <c r="B101" s="19" t="s">
        <v>16</v>
      </c>
      <c r="C101" s="20">
        <f>300/C100</f>
        <v>0.12244897959183673</v>
      </c>
      <c r="D101" s="6"/>
      <c r="E101" s="41" t="s">
        <v>107</v>
      </c>
      <c r="F101" s="41" t="s">
        <v>17</v>
      </c>
      <c r="G101" s="46">
        <f>44.9-6.55*LOG10($C102)</f>
        <v>39.364607837906618</v>
      </c>
      <c r="H101" s="41" t="s">
        <v>17</v>
      </c>
      <c r="I101" s="46">
        <f>44.9-6.55*LOG10($C102)</f>
        <v>39.364607837906618</v>
      </c>
      <c r="J101" s="41" t="s">
        <v>17</v>
      </c>
      <c r="K101" s="46" t="e">
        <f>25.1-K102</f>
        <v>#NUM!</v>
      </c>
    </row>
    <row r="102" spans="1:13">
      <c r="A102" s="6"/>
      <c r="B102" s="41" t="s">
        <v>18</v>
      </c>
      <c r="C102" s="5">
        <f>F3</f>
        <v>7</v>
      </c>
      <c r="D102" s="6"/>
      <c r="E102" s="6"/>
      <c r="F102" s="6"/>
      <c r="G102" s="6"/>
      <c r="H102" s="6"/>
      <c r="I102" s="6"/>
      <c r="J102" s="41" t="s">
        <v>77</v>
      </c>
      <c r="K102" s="20" t="e">
        <f>0.13*LOG10(C102-24.999)</f>
        <v>#NUM!</v>
      </c>
    </row>
    <row r="103" spans="1:13">
      <c r="A103" s="6"/>
      <c r="B103" s="41" t="s">
        <v>21</v>
      </c>
      <c r="C103" s="5">
        <f>F4</f>
        <v>2</v>
      </c>
      <c r="D103" s="6"/>
      <c r="E103" s="6"/>
      <c r="F103" s="6"/>
      <c r="G103" s="6"/>
      <c r="H103" s="6"/>
      <c r="I103" s="6"/>
      <c r="J103" s="6"/>
      <c r="K103" s="6"/>
    </row>
    <row r="104" spans="1:13">
      <c r="A104" s="6"/>
      <c r="B104" s="41"/>
      <c r="C104" s="5"/>
      <c r="D104" s="11" t="s">
        <v>68</v>
      </c>
      <c r="E104" s="6"/>
      <c r="F104" s="11" t="s">
        <v>22</v>
      </c>
      <c r="G104" s="11" t="s">
        <v>25</v>
      </c>
      <c r="H104" s="11" t="s">
        <v>22</v>
      </c>
      <c r="I104" s="11" t="s">
        <v>25</v>
      </c>
      <c r="J104" s="11" t="s">
        <v>22</v>
      </c>
      <c r="K104" s="11" t="s">
        <v>25</v>
      </c>
    </row>
    <row r="105" spans="1:13">
      <c r="A105" s="6"/>
      <c r="B105" s="6"/>
      <c r="C105" s="6"/>
      <c r="D105" s="8">
        <f>B4</f>
        <v>133.27940008672039</v>
      </c>
      <c r="E105" s="6"/>
      <c r="F105" s="13">
        <f>D105-B46</f>
        <v>115.56940008672038</v>
      </c>
      <c r="G105" s="12">
        <f>10^(($F105-34.46-5.83*LOG10($C102)-23*LOG10($C100/5000))/G101)/1000</f>
        <v>0.13071230994605992</v>
      </c>
      <c r="H105" s="13">
        <f>D105-D46</f>
        <v>114.99940008672039</v>
      </c>
      <c r="I105" s="12">
        <f>10^(($H105-31.46-5.83*LOG10($C102)-23*LOG10($C100/5000))/I101)/1000</f>
        <v>0.15067703571918944</v>
      </c>
      <c r="J105" s="13">
        <f>D105-F46</f>
        <v>116.99940008672039</v>
      </c>
      <c r="K105" s="12" t="e">
        <f>(10^((J105-55.4+0.9*LOG10(C103-1.4999)-21.3*LOG10(C100/5000)+2*K102)/(25.1-K102)))/1000</f>
        <v>#NUM!</v>
      </c>
    </row>
    <row r="106" spans="1:13">
      <c r="A106" s="6"/>
      <c r="B106" s="6"/>
      <c r="C106" s="6"/>
      <c r="D106" s="6"/>
      <c r="E106" s="6"/>
      <c r="F106" s="6"/>
      <c r="G106" s="6"/>
      <c r="H106" s="6"/>
      <c r="I106" s="6"/>
      <c r="J106" s="6"/>
      <c r="K106" s="6"/>
    </row>
    <row r="107" spans="1:13" ht="15.75">
      <c r="A107" s="48" t="s">
        <v>52</v>
      </c>
      <c r="B107" s="51"/>
      <c r="C107" s="51"/>
      <c r="D107" s="50" t="s">
        <v>53</v>
      </c>
      <c r="E107" s="51"/>
      <c r="F107" s="51"/>
      <c r="G107" s="51"/>
      <c r="H107" s="51"/>
      <c r="I107" s="51"/>
      <c r="J107" s="51"/>
      <c r="K107" s="51"/>
      <c r="L107" s="60"/>
      <c r="M107" s="60"/>
    </row>
    <row r="108" spans="1:13">
      <c r="A108" s="26" t="s">
        <v>56</v>
      </c>
      <c r="B108" s="6"/>
      <c r="C108" s="6"/>
      <c r="D108" s="6"/>
      <c r="E108" s="6"/>
      <c r="F108" s="6"/>
      <c r="G108" s="6"/>
      <c r="H108" s="6"/>
      <c r="I108" s="6"/>
      <c r="J108" s="6"/>
      <c r="K108" s="6"/>
    </row>
    <row r="109" spans="1:13" ht="16.5">
      <c r="A109" s="26" t="s">
        <v>112</v>
      </c>
      <c r="B109" s="6"/>
      <c r="C109" s="6"/>
      <c r="D109" s="6"/>
      <c r="E109" s="6"/>
      <c r="F109" s="6"/>
      <c r="G109" s="6"/>
      <c r="H109" s="6"/>
      <c r="I109" s="6"/>
      <c r="J109" s="6"/>
      <c r="K109" s="6"/>
    </row>
    <row r="110" spans="1:13">
      <c r="A110" s="30" t="s">
        <v>54</v>
      </c>
      <c r="B110" s="6"/>
      <c r="C110" s="6"/>
      <c r="D110" s="6"/>
      <c r="E110" s="6"/>
      <c r="F110" s="6"/>
      <c r="G110" s="6"/>
      <c r="H110" s="6"/>
      <c r="I110" s="6"/>
      <c r="J110" s="6"/>
      <c r="K110" s="6"/>
    </row>
    <row r="111" spans="1:13">
      <c r="A111" s="26" t="s">
        <v>57</v>
      </c>
      <c r="B111" s="6"/>
      <c r="C111" s="6"/>
      <c r="D111" s="6"/>
      <c r="E111" s="6"/>
      <c r="F111" s="6"/>
      <c r="G111" s="6"/>
      <c r="H111" s="6"/>
      <c r="I111" s="6"/>
      <c r="J111" s="6"/>
      <c r="K111" s="6"/>
    </row>
    <row r="112" spans="1:13">
      <c r="A112" s="6"/>
      <c r="B112" s="6"/>
      <c r="C112" s="6"/>
      <c r="D112" s="6"/>
      <c r="E112" s="6"/>
      <c r="F112" s="6"/>
      <c r="G112" s="6"/>
      <c r="H112" s="6"/>
      <c r="I112" s="6"/>
      <c r="J112" s="6"/>
      <c r="K112" s="6"/>
    </row>
    <row r="113" spans="1:13">
      <c r="A113" s="6"/>
      <c r="B113" s="6"/>
      <c r="C113" s="6"/>
      <c r="D113" s="6"/>
      <c r="E113" s="6"/>
      <c r="F113" s="6"/>
      <c r="G113" s="11" t="s">
        <v>35</v>
      </c>
      <c r="H113" s="6"/>
      <c r="I113" s="11" t="s">
        <v>36</v>
      </c>
      <c r="J113" s="6"/>
      <c r="K113" s="6"/>
    </row>
    <row r="114" spans="1:13">
      <c r="A114" s="6"/>
      <c r="B114" s="41" t="s">
        <v>13</v>
      </c>
      <c r="C114" s="5">
        <f>B3</f>
        <v>2450</v>
      </c>
      <c r="D114" s="6"/>
      <c r="E114" s="41" t="s">
        <v>108</v>
      </c>
      <c r="F114" s="41" t="s">
        <v>109</v>
      </c>
      <c r="G114" s="46">
        <f>33.9*LOG(2)</f>
        <v>10.204916853008962</v>
      </c>
      <c r="H114" s="41" t="s">
        <v>109</v>
      </c>
      <c r="I114" s="46">
        <f>(33.9-1.56)*LOG10(2)</f>
        <v>9.7353100597731501</v>
      </c>
      <c r="J114" s="41"/>
      <c r="K114" s="6"/>
    </row>
    <row r="115" spans="1:13">
      <c r="A115" s="6"/>
      <c r="B115" s="19" t="s">
        <v>16</v>
      </c>
      <c r="C115" s="20">
        <f>300/C114</f>
        <v>0.12244897959183673</v>
      </c>
      <c r="D115" s="6"/>
      <c r="E115" s="41" t="s">
        <v>107</v>
      </c>
      <c r="F115" s="41" t="s">
        <v>17</v>
      </c>
      <c r="G115" s="46">
        <f>44.9-6.55*LOG10($C116)</f>
        <v>39.364607837906618</v>
      </c>
      <c r="H115" s="41" t="s">
        <v>17</v>
      </c>
      <c r="I115" s="46">
        <f>44.9-6.55*LOG10($C116)</f>
        <v>39.364607837906618</v>
      </c>
      <c r="J115" s="6"/>
      <c r="K115" s="6"/>
    </row>
    <row r="116" spans="1:13">
      <c r="A116" s="6"/>
      <c r="B116" s="41" t="s">
        <v>18</v>
      </c>
      <c r="C116" s="5">
        <f>F3</f>
        <v>7</v>
      </c>
      <c r="D116" s="6"/>
      <c r="E116" s="6"/>
      <c r="F116" s="41" t="s">
        <v>55</v>
      </c>
      <c r="G116" s="46">
        <f>3.2*(LOG10(11.75*$C117))^2-4.97</f>
        <v>1.0454466654540449</v>
      </c>
      <c r="H116" s="6"/>
      <c r="I116" s="46">
        <f>(1.1*LOG10($C114)-0.7)*$C117-(1.56*LOG($C114)-0.8)</f>
        <v>1.5690662939933002</v>
      </c>
      <c r="J116" s="6"/>
      <c r="K116" s="6"/>
    </row>
    <row r="117" spans="1:13">
      <c r="A117" s="6"/>
      <c r="B117" s="41" t="s">
        <v>21</v>
      </c>
      <c r="C117" s="5">
        <f>F4</f>
        <v>2</v>
      </c>
      <c r="D117" s="6"/>
      <c r="E117" s="6"/>
      <c r="F117" s="6"/>
      <c r="G117" s="6"/>
      <c r="H117" s="6"/>
      <c r="I117" s="6"/>
      <c r="J117" s="6"/>
      <c r="K117" s="6"/>
    </row>
    <row r="118" spans="1:13">
      <c r="A118" s="6"/>
      <c r="B118" s="41"/>
      <c r="C118" s="5"/>
      <c r="D118" s="11" t="s">
        <v>68</v>
      </c>
      <c r="E118" s="6"/>
      <c r="F118" s="11" t="s">
        <v>22</v>
      </c>
      <c r="G118" s="11" t="s">
        <v>25</v>
      </c>
      <c r="H118" s="11" t="s">
        <v>22</v>
      </c>
      <c r="I118" s="11" t="s">
        <v>25</v>
      </c>
      <c r="J118" s="6"/>
      <c r="K118" s="6"/>
    </row>
    <row r="119" spans="1:13">
      <c r="A119" s="6"/>
      <c r="B119" s="6"/>
      <c r="C119" s="6"/>
      <c r="D119" s="8">
        <f>B4</f>
        <v>133.27940008672039</v>
      </c>
      <c r="E119" s="6"/>
      <c r="F119" s="13">
        <f>D119-C46</f>
        <v>115.56940008672038</v>
      </c>
      <c r="G119" s="12">
        <f>10^(($F119-46.3-33.9*LOG10($C114)+13.82*LOG10($C116)+G116-3)/G115)</f>
        <v>0.12247518609590419</v>
      </c>
      <c r="H119" s="13">
        <f>D119-D46</f>
        <v>114.99940008672039</v>
      </c>
      <c r="I119" s="12">
        <f>10^(($H119-46.3-33.9*LOG10($C114)+13.82*LOG10($C116)+I116)/I115)</f>
        <v>0.14557287967244134</v>
      </c>
      <c r="J119" s="6"/>
      <c r="K119" s="6"/>
    </row>
    <row r="120" spans="1:13">
      <c r="A120" s="6"/>
      <c r="B120" s="6"/>
      <c r="C120" s="6"/>
      <c r="D120" s="8"/>
      <c r="E120" s="6"/>
      <c r="F120" s="47"/>
      <c r="G120" s="12"/>
      <c r="H120" s="47"/>
      <c r="I120" s="12"/>
      <c r="J120" s="6"/>
      <c r="K120" s="6"/>
    </row>
    <row r="121" spans="1:13" ht="15.75">
      <c r="A121" s="59" t="s">
        <v>87</v>
      </c>
      <c r="B121" s="51"/>
      <c r="C121" s="51"/>
      <c r="D121" s="50" t="s">
        <v>219</v>
      </c>
      <c r="E121" s="51"/>
      <c r="F121" s="51"/>
      <c r="G121" s="51"/>
      <c r="H121" s="51"/>
      <c r="I121" s="51"/>
      <c r="J121" s="51"/>
      <c r="K121" s="51"/>
      <c r="L121" s="60"/>
      <c r="M121" s="60"/>
    </row>
    <row r="122" spans="1:13" ht="17.25">
      <c r="A122" s="14" t="s">
        <v>88</v>
      </c>
      <c r="B122" s="6"/>
      <c r="C122" s="6"/>
      <c r="D122" s="8"/>
      <c r="E122" s="6"/>
      <c r="F122" s="47"/>
      <c r="G122" s="12"/>
      <c r="H122" s="47"/>
      <c r="I122" s="12"/>
      <c r="J122" s="6"/>
      <c r="K122" s="10" t="s">
        <v>51</v>
      </c>
    </row>
    <row r="123" spans="1:13" ht="17.25">
      <c r="A123" s="14" t="s">
        <v>159</v>
      </c>
      <c r="B123" s="6"/>
      <c r="C123" s="6"/>
      <c r="D123" s="8"/>
      <c r="E123" s="6"/>
      <c r="F123" s="47"/>
      <c r="G123" s="12"/>
      <c r="H123" s="47"/>
      <c r="I123" s="12"/>
      <c r="J123" s="6"/>
      <c r="K123" s="6"/>
    </row>
    <row r="124" spans="1:13">
      <c r="A124" s="14"/>
      <c r="B124" s="6"/>
      <c r="C124" s="6"/>
      <c r="D124" s="8"/>
      <c r="E124" s="6"/>
      <c r="F124" s="47"/>
      <c r="G124" s="12"/>
      <c r="H124" s="47"/>
      <c r="I124" s="12"/>
      <c r="J124" s="6"/>
      <c r="K124" s="6"/>
    </row>
    <row r="125" spans="1:13" ht="30">
      <c r="A125" s="14"/>
      <c r="B125" s="6"/>
      <c r="C125" s="6"/>
      <c r="D125" s="8"/>
      <c r="E125" s="6"/>
      <c r="F125" s="47"/>
      <c r="G125" s="65" t="s">
        <v>42</v>
      </c>
      <c r="I125" s="65" t="s">
        <v>43</v>
      </c>
      <c r="J125" s="6"/>
      <c r="K125" s="11" t="s">
        <v>36</v>
      </c>
      <c r="L125" s="6"/>
      <c r="M125" s="11" t="s">
        <v>75</v>
      </c>
    </row>
    <row r="126" spans="1:13">
      <c r="A126" s="14"/>
      <c r="B126" s="41" t="s">
        <v>13</v>
      </c>
      <c r="C126" s="5">
        <f>B3</f>
        <v>2450</v>
      </c>
      <c r="D126" s="8"/>
      <c r="E126" s="41" t="s">
        <v>108</v>
      </c>
      <c r="F126" s="41" t="s">
        <v>109</v>
      </c>
      <c r="G126" s="46">
        <f>20*LOG(2)</f>
        <v>6.0205999132796242</v>
      </c>
      <c r="H126" s="41" t="s">
        <v>109</v>
      </c>
      <c r="I126" s="46">
        <f>20*LOG(2)</f>
        <v>6.0205999132796242</v>
      </c>
      <c r="J126" s="41" t="s">
        <v>109</v>
      </c>
      <c r="K126" s="46">
        <f>20*LOG(2)</f>
        <v>6.0205999132796242</v>
      </c>
      <c r="L126" s="41" t="s">
        <v>109</v>
      </c>
      <c r="M126" s="46">
        <f>20*LOG(2)</f>
        <v>6.0205999132796242</v>
      </c>
    </row>
    <row r="127" spans="1:13">
      <c r="A127" s="14"/>
      <c r="B127" s="19" t="s">
        <v>16</v>
      </c>
      <c r="C127" s="20">
        <f>300/C126</f>
        <v>0.12244897959183673</v>
      </c>
      <c r="E127" s="41" t="s">
        <v>107</v>
      </c>
      <c r="F127" s="41" t="s">
        <v>17</v>
      </c>
      <c r="G127" s="46">
        <f>43.42-3.1*LOG10($C128)</f>
        <v>40.800196075955803</v>
      </c>
      <c r="H127" s="41" t="s">
        <v>17</v>
      </c>
      <c r="I127" s="46">
        <f>43.42-3.1*LOG10($C128)</f>
        <v>40.800196075955803</v>
      </c>
      <c r="J127" s="41" t="s">
        <v>17</v>
      </c>
      <c r="K127" s="46">
        <f>43.42-3.1*LOG10($C128)</f>
        <v>40.800196075955803</v>
      </c>
      <c r="L127" s="41" t="s">
        <v>17</v>
      </c>
      <c r="M127" s="46">
        <f>43.42-3.1*LOG10($C128)</f>
        <v>40.800196075955803</v>
      </c>
    </row>
    <row r="128" spans="1:13">
      <c r="A128" s="6"/>
      <c r="B128" s="41" t="s">
        <v>18</v>
      </c>
      <c r="C128" s="5">
        <f>F3</f>
        <v>7</v>
      </c>
      <c r="E128" s="6"/>
      <c r="F128" s="17" t="s">
        <v>89</v>
      </c>
      <c r="G128" s="66">
        <f>B9</f>
        <v>30</v>
      </c>
      <c r="H128" s="67"/>
      <c r="I128" s="67">
        <f>C9</f>
        <v>20</v>
      </c>
      <c r="J128" s="66"/>
      <c r="K128" s="66">
        <f>D9</f>
        <v>10</v>
      </c>
      <c r="L128" s="66"/>
      <c r="M128" s="66">
        <f>E9</f>
        <v>10</v>
      </c>
    </row>
    <row r="129" spans="1:13">
      <c r="A129" s="6"/>
      <c r="B129" s="41" t="s">
        <v>21</v>
      </c>
      <c r="C129" s="5">
        <f>F4</f>
        <v>2</v>
      </c>
      <c r="E129" s="6"/>
      <c r="F129" s="17" t="s">
        <v>90</v>
      </c>
      <c r="G129" s="5">
        <f>B10</f>
        <v>20</v>
      </c>
      <c r="H129" s="67"/>
      <c r="I129" s="67">
        <f>C10</f>
        <v>20</v>
      </c>
      <c r="J129" s="66"/>
      <c r="K129" s="67">
        <f>D10</f>
        <v>20</v>
      </c>
      <c r="L129" s="66"/>
      <c r="M129" s="67">
        <f>E10</f>
        <v>15</v>
      </c>
    </row>
    <row r="130" spans="1:13">
      <c r="D130" s="11" t="s">
        <v>68</v>
      </c>
      <c r="E130" s="8"/>
      <c r="F130" s="11" t="s">
        <v>22</v>
      </c>
      <c r="G130" s="11" t="s">
        <v>25</v>
      </c>
      <c r="H130" s="11" t="s">
        <v>22</v>
      </c>
      <c r="I130" s="11" t="s">
        <v>25</v>
      </c>
      <c r="J130" s="11" t="s">
        <v>22</v>
      </c>
      <c r="K130" s="11" t="s">
        <v>25</v>
      </c>
      <c r="L130" s="11" t="s">
        <v>22</v>
      </c>
      <c r="M130" s="11" t="s">
        <v>25</v>
      </c>
    </row>
    <row r="131" spans="1:13">
      <c r="A131" s="6"/>
      <c r="B131" s="17"/>
      <c r="D131" s="8">
        <f>B4</f>
        <v>133.27940008672039</v>
      </c>
      <c r="E131" s="8"/>
      <c r="F131" s="13">
        <f>D131-B46</f>
        <v>115.56940008672038</v>
      </c>
      <c r="G131" s="12">
        <f>10^((F131-(161.04-7.1*LOG10(G$129)+7.5*LOG10(G$128)-(24.37-3.7*(G$128/$C$128)^2)*LOG10($C$128)-3*G$127+20*LOG10($C$126/1000)-(3.2*(LOG10(11.75*$C$129))^2-4.97)))/G$127)/1000</f>
        <v>5.9210044185560775E-3</v>
      </c>
      <c r="H131" s="13">
        <f>D131-C46</f>
        <v>115.56940008672038</v>
      </c>
      <c r="I131" s="12">
        <f>10^((H131-(161.04-7.1*LOG10(I$129)+7.5*LOG10(I$128)-(24.37-3.7*(I$128/$C$128)^2)*LOG10($C$128)-3*I$127+20*LOG10($C$126/1000)-(3.2*(LOG10(11.75*$C$129))^2-4.97)))/I$127)/1000</f>
        <v>3.8617991847141001E-2</v>
      </c>
      <c r="J131" s="13">
        <f>D131-D46</f>
        <v>114.99940008672039</v>
      </c>
      <c r="K131" s="12">
        <f>10^((J131-(161.04-7.1*LOG10(K$129)+7.5*LOG10(K$128)-(24.37-3.7*(K$128/$C$128)^2)*LOG10($C$128)-3*K$127+20*LOG10($C$126/1000)-(3.2*(LOG10(11.75*$C$129))^2-4.97)))/K$127)/1000</f>
        <v>0.12513250533429487</v>
      </c>
      <c r="L131" s="13">
        <f>D131-F46</f>
        <v>116.99940008672039</v>
      </c>
      <c r="M131" s="12">
        <f>10^((L131-(161.04-7.1*LOG10(M$129)+7.5*LOG10(M$128)-(24.37-3.7*(M$128/$C$128)^2)*LOG10($C$128)-3*M$127+20*LOG10($C$126/1000)-(3.2*(LOG10(11.75*$C$129))^2-4.97)))/M$127)/1000</f>
        <v>0.13324405058525246</v>
      </c>
    </row>
    <row r="132" spans="1:13">
      <c r="A132" s="6"/>
      <c r="B132" s="17"/>
      <c r="D132" s="8"/>
      <c r="F132" s="11"/>
      <c r="G132" s="185"/>
      <c r="H132" s="13"/>
      <c r="I132" s="13"/>
      <c r="J132" s="13"/>
      <c r="K132" s="13"/>
      <c r="L132" s="13"/>
      <c r="M132" s="13"/>
    </row>
    <row r="133" spans="1:13" ht="15.75">
      <c r="A133" s="280" t="s">
        <v>220</v>
      </c>
      <c r="B133" s="51"/>
      <c r="C133" s="51"/>
      <c r="D133" s="51"/>
      <c r="E133" s="51"/>
      <c r="F133" s="281"/>
      <c r="G133" s="51"/>
      <c r="H133" s="51"/>
      <c r="I133" s="51"/>
      <c r="J133" s="51"/>
      <c r="K133" s="51"/>
      <c r="L133" s="60"/>
      <c r="M133" s="60"/>
    </row>
    <row r="134" spans="1:13">
      <c r="A134" s="14" t="s">
        <v>221</v>
      </c>
      <c r="B134" s="6"/>
      <c r="C134" s="6"/>
      <c r="D134" s="6"/>
      <c r="E134" s="6"/>
      <c r="F134" s="6"/>
      <c r="G134" s="6"/>
      <c r="H134" s="6"/>
      <c r="I134" s="6"/>
      <c r="J134" s="6"/>
      <c r="K134" s="6"/>
    </row>
    <row r="135" spans="1:13">
      <c r="A135" s="14" t="s">
        <v>222</v>
      </c>
      <c r="B135" s="6"/>
      <c r="C135" s="6"/>
      <c r="D135" s="6"/>
      <c r="E135" s="6"/>
      <c r="F135" s="6"/>
      <c r="G135" s="6"/>
      <c r="H135" s="6"/>
      <c r="I135" s="6"/>
      <c r="J135" s="6"/>
      <c r="K135" s="6"/>
    </row>
    <row r="136" spans="1:13" ht="30">
      <c r="G136" s="65" t="s">
        <v>223</v>
      </c>
    </row>
    <row r="137" spans="1:13">
      <c r="B137" s="41" t="s">
        <v>13</v>
      </c>
      <c r="C137" s="5">
        <f>C126</f>
        <v>2450</v>
      </c>
      <c r="E137" s="41" t="s">
        <v>108</v>
      </c>
      <c r="F137" s="41" t="s">
        <v>109</v>
      </c>
      <c r="G137" s="272">
        <f>26*LOG10(2)</f>
        <v>7.8267798872635108</v>
      </c>
    </row>
    <row r="138" spans="1:13">
      <c r="B138" s="19" t="s">
        <v>16</v>
      </c>
      <c r="C138" s="20">
        <f>300/C137</f>
        <v>0.12244897959183673</v>
      </c>
      <c r="E138" s="41" t="s">
        <v>107</v>
      </c>
      <c r="F138" s="41" t="s">
        <v>17</v>
      </c>
      <c r="G138" s="273">
        <v>36.700000000000003</v>
      </c>
    </row>
    <row r="139" spans="1:13">
      <c r="B139" s="41" t="s">
        <v>18</v>
      </c>
      <c r="C139" s="5">
        <f>F3</f>
        <v>7</v>
      </c>
    </row>
    <row r="140" spans="1:13">
      <c r="B140" s="41" t="s">
        <v>21</v>
      </c>
      <c r="C140" s="5">
        <f>F4</f>
        <v>2</v>
      </c>
    </row>
    <row r="141" spans="1:13">
      <c r="D141" s="11" t="s">
        <v>68</v>
      </c>
      <c r="F141" s="11" t="s">
        <v>22</v>
      </c>
      <c r="G141" s="11" t="s">
        <v>25</v>
      </c>
    </row>
    <row r="142" spans="1:13">
      <c r="D142" s="242">
        <f>B4</f>
        <v>133.27940008672039</v>
      </c>
      <c r="F142" s="242">
        <f>D142-B46</f>
        <v>115.56940008672038</v>
      </c>
      <c r="G142" s="241" t="str">
        <f>IF(C139=10,10^((F142-22.7-26*LOG10(C137/1000))/36.7)/1000,"n/a")</f>
        <v>n/a</v>
      </c>
    </row>
  </sheetData>
  <sheetProtection password="CF7A" sheet="1" objects="1" scenarios="1"/>
  <mergeCells count="1">
    <mergeCell ref="B7:C7"/>
  </mergeCells>
  <dataValidations count="13">
    <dataValidation type="list" allowBlank="1" showInputMessage="1" showErrorMessage="1" sqref="B6">
      <formula1>"1,3"</formula1>
    </dataValidation>
    <dataValidation type="list" allowBlank="1" showInputMessage="1" showErrorMessage="1" sqref="A24:A26 A15:A17 A33:A35">
      <formula1>"Erceg-SUI -Mod,Hata-Okumura,COST231-Hata,WINNER II"</formula1>
    </dataValidation>
    <dataValidation type="list" allowBlank="1" showInputMessage="1" showErrorMessage="1" sqref="A13 A22 A31">
      <formula1>"Erceg-SUI -Modified,Hata-Okumura,COST231-Hata,WINNER II"</formula1>
    </dataValidation>
    <dataValidation type="list" allowBlank="1" showInputMessage="1" showErrorMessage="1" sqref="A14 A23 A32">
      <formula1>"Erceg-SUI -Modified,Erceg-SUI-Original,Hata-Okumura,COST231-Hata,WINNER II"</formula1>
    </dataValidation>
    <dataValidation type="list" allowBlank="1" showInputMessage="1" showErrorMessage="1" sqref="F5">
      <formula1>"Outdoor,Vehicle, Indoor-Res,Indoor-Bus, ID Basement, Indoor Vault"</formula1>
    </dataValidation>
    <dataValidation type="list" allowBlank="1" showInputMessage="1" showErrorMessage="1" sqref="R11:R14">
      <formula1>"Erceg-SUI -Mod,Hata-Okumura,COST231,WINNER II"</formula1>
    </dataValidation>
    <dataValidation type="decimal" allowBlank="1" showInputMessage="1" showErrorMessage="1" sqref="B9:E10">
      <formula1>5</formula1>
      <formula2>50</formula2>
    </dataValidation>
    <dataValidation type="decimal" allowBlank="1" showInputMessage="1" showErrorMessage="1" sqref="F3">
      <formula1>7</formula1>
      <formula2>200</formula2>
    </dataValidation>
    <dataValidation type="whole" allowBlank="1" showInputMessage="1" showErrorMessage="1" sqref="B3">
      <formula1>700</formula1>
      <formula2>6000</formula2>
    </dataValidation>
    <dataValidation allowBlank="1" showInputMessage="1" showErrorMessage="1" prompt="0 dB when spectrum is dedicated to single operator. Appropriate value should be entered with unlicensed or shared spectrum." sqref="D7:E7"/>
    <dataValidation allowBlank="1" showInputMessage="1" showErrorMessage="1" promptTitle="Breakpoint Distance" prompt="Original set at 100 meters " sqref="J7"/>
    <dataValidation type="list" allowBlank="1" showInputMessage="1" showErrorMessage="1" promptTitle="Changes PL Relative to Freq" prompt="For Original Erceg-SUI, k=0_x000a_k=4 recommended for Mod-Erceg-SUI" sqref="H7">
      <formula1>"0,1,2,3,4,5,6,7,8,9,10"</formula1>
    </dataValidation>
    <dataValidation type="decimal" allowBlank="1" showInputMessage="1" showErrorMessage="1" sqref="F4">
      <formula1>2</formula1>
      <formula2>10</formula2>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dimension ref="A1:AG221"/>
  <sheetViews>
    <sheetView topLeftCell="A38" zoomScale="90" zoomScaleNormal="90" workbookViewId="0">
      <selection activeCell="D46" sqref="D46"/>
    </sheetView>
  </sheetViews>
  <sheetFormatPr defaultRowHeight="15"/>
  <cols>
    <col min="1" max="1" width="32.7109375" customWidth="1"/>
    <col min="2" max="16" width="12.7109375" customWidth="1"/>
    <col min="17" max="17" width="12.5703125" customWidth="1"/>
    <col min="18" max="20" width="12.7109375" customWidth="1"/>
    <col min="21" max="21" width="12.5703125" customWidth="1"/>
    <col min="22" max="35" width="12.7109375" customWidth="1"/>
    <col min="38" max="38" width="14.140625" customWidth="1"/>
  </cols>
  <sheetData>
    <row r="1" spans="1:33" ht="18.75">
      <c r="A1" s="194" t="s">
        <v>169</v>
      </c>
    </row>
    <row r="2" spans="1:33" ht="21.75" customHeight="1">
      <c r="A2" s="88" t="s">
        <v>517</v>
      </c>
      <c r="B2" s="81"/>
      <c r="C2" s="81"/>
      <c r="D2" s="81"/>
      <c r="E2" s="81"/>
      <c r="F2" s="81"/>
      <c r="G2" s="81"/>
      <c r="H2" s="81"/>
      <c r="I2" s="74"/>
    </row>
    <row r="3" spans="1:33">
      <c r="A3" s="100" t="s">
        <v>61</v>
      </c>
      <c r="B3" s="101">
        <f>'B-Wireless-Input-System Gain'!C11</f>
        <v>2450</v>
      </c>
      <c r="C3" s="102" t="s">
        <v>65</v>
      </c>
      <c r="D3" s="103"/>
      <c r="E3" s="104" t="s">
        <v>63</v>
      </c>
      <c r="F3" s="101">
        <f>'1-Range_Estimator'!F3</f>
        <v>7</v>
      </c>
      <c r="G3" s="102" t="s">
        <v>14</v>
      </c>
      <c r="H3" s="39"/>
      <c r="I3" s="2"/>
    </row>
    <row r="4" spans="1:33">
      <c r="A4" s="105" t="s">
        <v>62</v>
      </c>
      <c r="B4" s="111">
        <f>'1-Range_Estimator'!B4</f>
        <v>133.27940008672039</v>
      </c>
      <c r="C4" s="107" t="s">
        <v>66</v>
      </c>
      <c r="D4" s="108"/>
      <c r="E4" s="109" t="s">
        <v>64</v>
      </c>
      <c r="F4" s="106">
        <f>'1-Range_Estimator'!F4</f>
        <v>2</v>
      </c>
      <c r="G4" s="107" t="s">
        <v>14</v>
      </c>
      <c r="H4" s="6"/>
      <c r="I4" s="9"/>
    </row>
    <row r="5" spans="1:33">
      <c r="A5" s="17" t="s">
        <v>459</v>
      </c>
      <c r="B5" s="110">
        <f>'1-Range_Estimator'!B5</f>
        <v>5.7</v>
      </c>
      <c r="C5" s="107" t="s">
        <v>66</v>
      </c>
      <c r="D5" s="108"/>
      <c r="E5" s="109" t="s">
        <v>74</v>
      </c>
      <c r="F5" s="106" t="str">
        <f>'1-Range_Estimator'!F5</f>
        <v>Outdoor</v>
      </c>
      <c r="G5" s="111"/>
      <c r="H5" s="41" t="s">
        <v>170</v>
      </c>
      <c r="I5" s="371">
        <v>3</v>
      </c>
    </row>
    <row r="6" spans="1:33">
      <c r="A6" s="112" t="s">
        <v>67</v>
      </c>
      <c r="B6" s="113">
        <f>'1-Range_Estimator'!B6</f>
        <v>1</v>
      </c>
      <c r="C6" s="114"/>
      <c r="D6" s="115"/>
      <c r="E6" s="159" t="str">
        <f>IF($I$6="UL","Effective UL Channel BW ","Effective DL Channel BW")</f>
        <v xml:space="preserve">Effective UL Channel BW </v>
      </c>
      <c r="F6" s="535">
        <f>'C-SG Ntwrk-Input-BS-Output '!B13</f>
        <v>10</v>
      </c>
      <c r="G6" s="160" t="s">
        <v>65</v>
      </c>
      <c r="H6" s="159" t="s">
        <v>444</v>
      </c>
      <c r="I6" s="553" t="str">
        <f>'C-SG Ntwrk-Input-BS-Output '!C22</f>
        <v>UL</v>
      </c>
      <c r="R6" s="161"/>
      <c r="S6" s="155"/>
      <c r="T6" s="155"/>
      <c r="U6" s="155"/>
      <c r="V6" s="155"/>
      <c r="W6" s="162" t="s">
        <v>257</v>
      </c>
      <c r="X6" s="306">
        <f>'B-Wireless-Input-System Gain'!M25</f>
        <v>0.309</v>
      </c>
      <c r="Y6" s="267"/>
      <c r="AA6" s="161"/>
      <c r="AB6" s="155"/>
      <c r="AC6" s="155"/>
      <c r="AD6" s="155"/>
      <c r="AE6" s="155"/>
      <c r="AF6" s="162" t="s">
        <v>257</v>
      </c>
      <c r="AG6" s="307">
        <f>'B-Wireless-Input-System Gain'!C25</f>
        <v>0.29299999999999998</v>
      </c>
    </row>
    <row r="7" spans="1:33" ht="30">
      <c r="A7" s="78"/>
      <c r="B7" s="3" t="s">
        <v>42</v>
      </c>
      <c r="C7" s="3" t="s">
        <v>43</v>
      </c>
      <c r="D7" s="3" t="s">
        <v>36</v>
      </c>
      <c r="E7" s="3" t="s">
        <v>75</v>
      </c>
      <c r="F7" s="3" t="s">
        <v>76</v>
      </c>
      <c r="G7" s="3" t="s">
        <v>0</v>
      </c>
      <c r="H7" s="3" t="s">
        <v>1</v>
      </c>
      <c r="I7" s="3" t="s">
        <v>2</v>
      </c>
      <c r="R7" s="161"/>
      <c r="S7" s="155"/>
      <c r="T7" s="155"/>
      <c r="U7" s="155"/>
      <c r="V7" s="162"/>
      <c r="W7" s="162" t="s">
        <v>149</v>
      </c>
      <c r="X7" s="536">
        <f>'B-Wireless-Input-System Gain'!M27</f>
        <v>20</v>
      </c>
      <c r="Y7" s="267"/>
      <c r="AA7" s="161"/>
      <c r="AB7" s="155"/>
      <c r="AC7" s="155"/>
      <c r="AD7" s="155"/>
      <c r="AE7" s="155"/>
      <c r="AF7" s="162" t="s">
        <v>149</v>
      </c>
      <c r="AG7" s="537">
        <f>'B-Wireless-Input-System Gain'!C27</f>
        <v>20</v>
      </c>
    </row>
    <row r="8" spans="1:33" ht="15" customHeight="1">
      <c r="A8" s="80" t="s">
        <v>11</v>
      </c>
      <c r="B8" s="25">
        <f>'1-Range_Estimator'!B46</f>
        <v>17.71</v>
      </c>
      <c r="C8" s="25">
        <f>'1-Range_Estimator'!C46</f>
        <v>17.71</v>
      </c>
      <c r="D8" s="25">
        <f>'1-Range_Estimator'!D46</f>
        <v>18.28</v>
      </c>
      <c r="E8" s="25">
        <f>'1-Range_Estimator'!E46</f>
        <v>16.28</v>
      </c>
      <c r="F8" s="25">
        <f>'1-Range_Estimator'!F46</f>
        <v>16.28</v>
      </c>
      <c r="G8" s="25">
        <f>'1-Range_Estimator'!G46</f>
        <v>18.28</v>
      </c>
      <c r="H8" s="25">
        <f>'1-Range_Estimator'!H46</f>
        <v>16.28</v>
      </c>
      <c r="I8" s="25">
        <f>'1-Range_Estimator'!I46</f>
        <v>16.28</v>
      </c>
      <c r="R8" s="169"/>
      <c r="S8" s="64" t="s">
        <v>3</v>
      </c>
      <c r="T8" s="163" t="s">
        <v>150</v>
      </c>
      <c r="U8" s="87" t="s">
        <v>151</v>
      </c>
      <c r="V8" s="3" t="s">
        <v>4</v>
      </c>
      <c r="W8" s="3" t="s">
        <v>163</v>
      </c>
      <c r="X8" s="63" t="s">
        <v>6</v>
      </c>
      <c r="Y8" s="267"/>
      <c r="AA8" s="169"/>
      <c r="AB8" s="64" t="s">
        <v>3</v>
      </c>
      <c r="AC8" s="163" t="s">
        <v>150</v>
      </c>
      <c r="AD8" s="87" t="s">
        <v>151</v>
      </c>
      <c r="AE8" s="546" t="s">
        <v>4</v>
      </c>
      <c r="AF8" s="546" t="s">
        <v>162</v>
      </c>
      <c r="AG8" s="3" t="s">
        <v>5</v>
      </c>
    </row>
    <row r="9" spans="1:33" ht="15" customHeight="1">
      <c r="A9" s="53" t="s">
        <v>94</v>
      </c>
      <c r="B9" s="25">
        <f>$B$4-B8</f>
        <v>115.56940008672038</v>
      </c>
      <c r="C9" s="25">
        <f t="shared" ref="C9:I9" si="0">$B$4-C8</f>
        <v>115.56940008672038</v>
      </c>
      <c r="D9" s="25">
        <f t="shared" si="0"/>
        <v>114.99940008672039</v>
      </c>
      <c r="E9" s="25">
        <f t="shared" si="0"/>
        <v>116.99940008672039</v>
      </c>
      <c r="F9" s="25">
        <f t="shared" si="0"/>
        <v>116.99940008672039</v>
      </c>
      <c r="G9" s="25">
        <f t="shared" si="0"/>
        <v>114.99940008672039</v>
      </c>
      <c r="H9" s="25">
        <f t="shared" si="0"/>
        <v>116.99940008672039</v>
      </c>
      <c r="I9" s="25">
        <f t="shared" si="0"/>
        <v>116.99940008672039</v>
      </c>
      <c r="R9" s="164"/>
      <c r="S9" s="165" t="str">
        <f>'B-Wireless-Input-System Gain'!V27</f>
        <v>n/a</v>
      </c>
      <c r="T9" s="166">
        <f>'B-Wireless-Input-System Gain'!W27</f>
        <v>0</v>
      </c>
      <c r="U9" s="538">
        <f>'B-Wireless-Input-System Gain'!X27</f>
        <v>0</v>
      </c>
      <c r="V9" s="167">
        <f>IF('B-Wireless-Input-System Gain'!AA27=0,0,'B-Wireless-Input-System Gain'!AA27+10)</f>
        <v>5.7</v>
      </c>
      <c r="W9" s="168">
        <f>'B-Wireless-Input-System Gain'!Y27</f>
        <v>0</v>
      </c>
      <c r="X9" s="550">
        <f t="shared" ref="X9:X23" si="1">(1-X$6)*X$7*W9</f>
        <v>0</v>
      </c>
      <c r="Y9" s="551"/>
      <c r="AA9" s="164"/>
      <c r="AB9" s="165" t="str">
        <f>'B-Wireless-Input-System Gain'!AC27</f>
        <v>n/a</v>
      </c>
      <c r="AC9" s="166">
        <f>'B-Wireless-Input-System Gain'!AD27</f>
        <v>0</v>
      </c>
      <c r="AD9" s="545">
        <f>'B-Wireless-Input-System Gain'!AE27</f>
        <v>0</v>
      </c>
      <c r="AE9" s="167">
        <f>IF('B-Wireless-Input-System Gain'!AH27=0,0,'B-Wireless-Input-System Gain'!AH27+10)</f>
        <v>5.7</v>
      </c>
      <c r="AF9" s="168">
        <f>'B-Wireless-Input-System Gain'!AF27</f>
        <v>0</v>
      </c>
      <c r="AG9" s="168">
        <f>(1-AG$6)*AG$7*AF9</f>
        <v>0</v>
      </c>
    </row>
    <row r="10" spans="1:33" ht="15.75">
      <c r="A10" s="71" t="s">
        <v>83</v>
      </c>
      <c r="B10" s="72"/>
      <c r="C10" s="72"/>
      <c r="D10" s="72"/>
      <c r="E10" s="72"/>
      <c r="F10" s="73"/>
      <c r="G10" s="72"/>
      <c r="H10" s="72"/>
      <c r="I10" s="74"/>
      <c r="R10" s="164"/>
      <c r="S10" s="165" t="str">
        <f>'B-Wireless-Input-System Gain'!V28</f>
        <v>n/a</v>
      </c>
      <c r="T10" s="166">
        <f>'B-Wireless-Input-System Gain'!W28</f>
        <v>0</v>
      </c>
      <c r="U10" s="538">
        <f>'B-Wireless-Input-System Gain'!X28</f>
        <v>0</v>
      </c>
      <c r="V10" s="167">
        <f>IF('B-Wireless-Input-System Gain'!AA28=0,0,'B-Wireless-Input-System Gain'!AA28+10)</f>
        <v>5.7</v>
      </c>
      <c r="W10" s="168">
        <f>'B-Wireless-Input-System Gain'!Y28</f>
        <v>0</v>
      </c>
      <c r="X10" s="550">
        <f t="shared" si="1"/>
        <v>0</v>
      </c>
      <c r="Y10" s="551"/>
      <c r="AA10" s="164"/>
      <c r="AB10" s="165" t="str">
        <f>'B-Wireless-Input-System Gain'!AC28</f>
        <v>n/a</v>
      </c>
      <c r="AC10" s="166">
        <f>'B-Wireless-Input-System Gain'!AD28</f>
        <v>0</v>
      </c>
      <c r="AD10" s="545">
        <f>'B-Wireless-Input-System Gain'!AE28</f>
        <v>0</v>
      </c>
      <c r="AE10" s="167">
        <f>IF('B-Wireless-Input-System Gain'!AH28=0,0,'B-Wireless-Input-System Gain'!AH28+10)</f>
        <v>5.7</v>
      </c>
      <c r="AF10" s="168">
        <f>'B-Wireless-Input-System Gain'!AF28</f>
        <v>0</v>
      </c>
      <c r="AG10" s="168">
        <f t="shared" ref="AG10:AG23" si="2">(1-AG$6)*AG$7*AF10</f>
        <v>0</v>
      </c>
    </row>
    <row r="11" spans="1:33" ht="30">
      <c r="A11" s="68" t="s">
        <v>23</v>
      </c>
      <c r="B11" s="68" t="s">
        <v>60</v>
      </c>
      <c r="C11" s="68" t="s">
        <v>59</v>
      </c>
      <c r="D11" s="69" t="s">
        <v>36</v>
      </c>
      <c r="E11" s="68" t="s">
        <v>75</v>
      </c>
      <c r="F11" s="70" t="s">
        <v>76</v>
      </c>
      <c r="G11" s="68" t="s">
        <v>0</v>
      </c>
      <c r="H11" s="68" t="s">
        <v>1</v>
      </c>
      <c r="I11" s="68" t="s">
        <v>2</v>
      </c>
      <c r="R11" s="164"/>
      <c r="S11" s="165" t="str">
        <f>'B-Wireless-Input-System Gain'!V29</f>
        <v>n/a</v>
      </c>
      <c r="T11" s="166">
        <f>'B-Wireless-Input-System Gain'!W29</f>
        <v>0</v>
      </c>
      <c r="U11" s="538">
        <f>'B-Wireless-Input-System Gain'!X29</f>
        <v>0</v>
      </c>
      <c r="V11" s="167">
        <f>IF('B-Wireless-Input-System Gain'!AA29=0,0,'B-Wireless-Input-System Gain'!AA29+10)</f>
        <v>5.7</v>
      </c>
      <c r="W11" s="168">
        <f>'B-Wireless-Input-System Gain'!Y29</f>
        <v>0</v>
      </c>
      <c r="X11" s="550">
        <f t="shared" si="1"/>
        <v>0</v>
      </c>
      <c r="Y11" s="551"/>
      <c r="AA11" s="164"/>
      <c r="AB11" s="165" t="str">
        <f>'B-Wireless-Input-System Gain'!AC29</f>
        <v>n/a</v>
      </c>
      <c r="AC11" s="166">
        <f>'B-Wireless-Input-System Gain'!AD29</f>
        <v>0</v>
      </c>
      <c r="AD11" s="545">
        <f>'B-Wireless-Input-System Gain'!AE29</f>
        <v>0</v>
      </c>
      <c r="AE11" s="167">
        <f>IF('B-Wireless-Input-System Gain'!AH29=0,0,'B-Wireless-Input-System Gain'!AH29+10)</f>
        <v>5.7</v>
      </c>
      <c r="AF11" s="168">
        <f>'B-Wireless-Input-System Gain'!AF29</f>
        <v>0</v>
      </c>
      <c r="AG11" s="168">
        <f t="shared" si="2"/>
        <v>0</v>
      </c>
    </row>
    <row r="12" spans="1:33" ht="15" customHeight="1">
      <c r="A12" s="38" t="s">
        <v>100</v>
      </c>
      <c r="B12" s="22"/>
      <c r="C12" s="22"/>
      <c r="D12" s="22"/>
      <c r="E12" s="22"/>
      <c r="F12" s="22"/>
      <c r="G12" s="22">
        <f>'1-Range_Estimator'!G13</f>
        <v>0.32931579887470902</v>
      </c>
      <c r="H12" s="22">
        <f>'1-Range_Estimator'!H13</f>
        <v>0.35291948129038198</v>
      </c>
      <c r="I12" s="22">
        <f>'1-Range_Estimator'!I13</f>
        <v>0.35273133607005103</v>
      </c>
      <c r="R12" s="164"/>
      <c r="S12" s="165" t="str">
        <f>'B-Wireless-Input-System Gain'!V30</f>
        <v>n/a</v>
      </c>
      <c r="T12" s="166">
        <f>'B-Wireless-Input-System Gain'!W30</f>
        <v>0</v>
      </c>
      <c r="U12" s="538">
        <f>'B-Wireless-Input-System Gain'!X30</f>
        <v>0</v>
      </c>
      <c r="V12" s="167">
        <f>IF('B-Wireless-Input-System Gain'!AA30=0,0,'B-Wireless-Input-System Gain'!AA30+10)</f>
        <v>5.7</v>
      </c>
      <c r="W12" s="168">
        <f>'B-Wireless-Input-System Gain'!Y30</f>
        <v>0</v>
      </c>
      <c r="X12" s="550">
        <f t="shared" si="1"/>
        <v>0</v>
      </c>
      <c r="Y12" s="551"/>
      <c r="AA12" s="164"/>
      <c r="AB12" s="165" t="str">
        <f>'B-Wireless-Input-System Gain'!AC30</f>
        <v>n/a</v>
      </c>
      <c r="AC12" s="166">
        <f>'B-Wireless-Input-System Gain'!AD30</f>
        <v>0</v>
      </c>
      <c r="AD12" s="545">
        <f>'B-Wireless-Input-System Gain'!AE30</f>
        <v>0</v>
      </c>
      <c r="AE12" s="167">
        <f>IF('B-Wireless-Input-System Gain'!AH30=0,0,'B-Wireless-Input-System Gain'!AH30+10)</f>
        <v>5.7</v>
      </c>
      <c r="AF12" s="168">
        <f>'B-Wireless-Input-System Gain'!AF30</f>
        <v>0</v>
      </c>
      <c r="AG12" s="168">
        <f t="shared" si="2"/>
        <v>0</v>
      </c>
    </row>
    <row r="13" spans="1:33">
      <c r="A13" s="38" t="s">
        <v>101</v>
      </c>
      <c r="B13" s="22"/>
      <c r="C13" s="22"/>
      <c r="D13" s="22"/>
      <c r="E13" s="22"/>
      <c r="F13" s="22"/>
      <c r="G13" s="22">
        <f>'1-Range_Estimator'!G14</f>
        <v>0.34634702071862672</v>
      </c>
      <c r="H13" s="22">
        <f>'1-Range_Estimator'!H14</f>
        <v>0.3686122290308943</v>
      </c>
      <c r="I13" s="22">
        <f>'1-Range_Estimator'!I14</f>
        <v>0.36676096899960448</v>
      </c>
      <c r="R13" s="164"/>
      <c r="S13" s="165" t="str">
        <f>'B-Wireless-Input-System Gain'!V31</f>
        <v>QPSK</v>
      </c>
      <c r="T13" s="166">
        <f>'B-Wireless-Input-System Gain'!W31</f>
        <v>2</v>
      </c>
      <c r="U13" s="343">
        <f>'B-Wireless-Input-System Gain'!X31</f>
        <v>8.3333333333333329E-2</v>
      </c>
      <c r="V13" s="167">
        <f>IF('B-Wireless-Input-System Gain'!AA31=0,0,'B-Wireless-Input-System Gain'!AA31+10)</f>
        <v>5.7</v>
      </c>
      <c r="W13" s="168">
        <f>'B-Wireless-Input-System Gain'!Y31</f>
        <v>0.16666666666666666</v>
      </c>
      <c r="X13" s="550">
        <f t="shared" si="1"/>
        <v>2.3033333333333332</v>
      </c>
      <c r="Y13" s="551"/>
      <c r="AA13" s="164"/>
      <c r="AB13" s="165" t="str">
        <f>'B-Wireless-Input-System Gain'!AC31</f>
        <v>QPSK</v>
      </c>
      <c r="AC13" s="166">
        <f>'B-Wireless-Input-System Gain'!AD31</f>
        <v>2</v>
      </c>
      <c r="AD13" s="545">
        <f>'B-Wireless-Input-System Gain'!AE31</f>
        <v>8.3333333333333329E-2</v>
      </c>
      <c r="AE13" s="167">
        <f>IF('B-Wireless-Input-System Gain'!AH31=0,0,'B-Wireless-Input-System Gain'!AH31+10)</f>
        <v>5.7</v>
      </c>
      <c r="AF13" s="168">
        <f>'B-Wireless-Input-System Gain'!AF31</f>
        <v>0.16666666666666666</v>
      </c>
      <c r="AG13" s="168">
        <f t="shared" si="2"/>
        <v>2.3566666666666665</v>
      </c>
    </row>
    <row r="14" spans="1:33">
      <c r="A14" s="38" t="s">
        <v>30</v>
      </c>
      <c r="B14" s="22" t="str">
        <f>'1-Range_Estimator'!B15</f>
        <v>n/a</v>
      </c>
      <c r="C14" s="22" t="str">
        <f>'1-Range_Estimator'!C15</f>
        <v>n/a</v>
      </c>
      <c r="D14" s="22" t="str">
        <f>'1-Range_Estimator'!D15</f>
        <v>n/a</v>
      </c>
      <c r="E14" s="22"/>
      <c r="F14" s="22"/>
      <c r="G14" s="22"/>
      <c r="H14" s="22"/>
      <c r="I14" s="22"/>
      <c r="R14" s="164"/>
      <c r="S14" s="165" t="str">
        <f>'B-Wireless-Input-System Gain'!V32</f>
        <v>QPSK</v>
      </c>
      <c r="T14" s="166">
        <f>'B-Wireless-Input-System Gain'!W32</f>
        <v>2</v>
      </c>
      <c r="U14" s="343">
        <f>'B-Wireless-Input-System Gain'!X32</f>
        <v>0.125</v>
      </c>
      <c r="V14" s="167">
        <f>IF('B-Wireless-Input-System Gain'!AA32=0,0,'B-Wireless-Input-System Gain'!AA32+10)</f>
        <v>7.5</v>
      </c>
      <c r="W14" s="168">
        <f>'B-Wireless-Input-System Gain'!Y32</f>
        <v>0.25</v>
      </c>
      <c r="X14" s="550">
        <f t="shared" si="1"/>
        <v>3.4550000000000001</v>
      </c>
      <c r="Y14" s="551"/>
      <c r="AA14" s="164"/>
      <c r="AB14" s="165" t="str">
        <f>'B-Wireless-Input-System Gain'!AC32</f>
        <v>QPSK</v>
      </c>
      <c r="AC14" s="166">
        <f>'B-Wireless-Input-System Gain'!AD32</f>
        <v>2</v>
      </c>
      <c r="AD14" s="545">
        <f>'B-Wireless-Input-System Gain'!AE32</f>
        <v>0.125</v>
      </c>
      <c r="AE14" s="167">
        <f>IF('B-Wireless-Input-System Gain'!AH32=0,0,'B-Wireless-Input-System Gain'!AH32+10)</f>
        <v>7.5</v>
      </c>
      <c r="AF14" s="168">
        <f>'B-Wireless-Input-System Gain'!AF32</f>
        <v>0.25</v>
      </c>
      <c r="AG14" s="168">
        <f t="shared" si="2"/>
        <v>3.5350000000000001</v>
      </c>
    </row>
    <row r="15" spans="1:33">
      <c r="A15" s="38" t="s">
        <v>72</v>
      </c>
      <c r="B15" s="22" t="str">
        <f>'1-Range_Estimator'!B16</f>
        <v>n/a</v>
      </c>
      <c r="C15" s="22"/>
      <c r="D15" s="22" t="str">
        <f>'1-Range_Estimator'!D16</f>
        <v>n/a</v>
      </c>
      <c r="E15" s="22"/>
      <c r="F15" s="22"/>
      <c r="G15" s="22"/>
      <c r="H15" s="22"/>
      <c r="I15" s="22"/>
      <c r="R15" s="164"/>
      <c r="S15" s="165" t="str">
        <f>'B-Wireless-Input-System Gain'!V33</f>
        <v>QPSK</v>
      </c>
      <c r="T15" s="166">
        <f>'B-Wireless-Input-System Gain'!W33</f>
        <v>2</v>
      </c>
      <c r="U15" s="343">
        <f>'B-Wireless-Input-System Gain'!X33</f>
        <v>0.25</v>
      </c>
      <c r="V15" s="167">
        <f>IF('B-Wireless-Input-System Gain'!AA33=0,0,'B-Wireless-Input-System Gain'!AA33+10)</f>
        <v>10.5</v>
      </c>
      <c r="W15" s="168">
        <f>'B-Wireless-Input-System Gain'!Y33</f>
        <v>0.5</v>
      </c>
      <c r="X15" s="550">
        <f t="shared" si="1"/>
        <v>6.91</v>
      </c>
      <c r="Y15" s="551"/>
      <c r="AA15" s="164"/>
      <c r="AB15" s="165" t="str">
        <f>'B-Wireless-Input-System Gain'!AC33</f>
        <v>QPSK</v>
      </c>
      <c r="AC15" s="166">
        <f>'B-Wireless-Input-System Gain'!AD33</f>
        <v>2</v>
      </c>
      <c r="AD15" s="545">
        <f>'B-Wireless-Input-System Gain'!AE33</f>
        <v>0.25</v>
      </c>
      <c r="AE15" s="167">
        <f>IF('B-Wireless-Input-System Gain'!AH33=0,0,'B-Wireless-Input-System Gain'!AH33+10)</f>
        <v>10.5</v>
      </c>
      <c r="AF15" s="168">
        <f>'B-Wireless-Input-System Gain'!AF33</f>
        <v>0.5</v>
      </c>
      <c r="AG15" s="168">
        <f t="shared" si="2"/>
        <v>7.07</v>
      </c>
    </row>
    <row r="16" spans="1:33">
      <c r="A16" s="56" t="s">
        <v>58</v>
      </c>
      <c r="B16" s="22" t="str">
        <f>'1-Range_Estimator'!B17</f>
        <v>n/a</v>
      </c>
      <c r="C16" s="22"/>
      <c r="D16" s="22" t="str">
        <f>'1-Range_Estimator'!D17</f>
        <v>n/a</v>
      </c>
      <c r="E16" s="22"/>
      <c r="F16" s="22" t="str">
        <f>'1-Range_Estimator'!F17</f>
        <v>n/a</v>
      </c>
      <c r="G16" s="22"/>
      <c r="H16" s="22"/>
      <c r="I16" s="22"/>
      <c r="R16" s="164"/>
      <c r="S16" s="165" t="str">
        <f>'B-Wireless-Input-System Gain'!V34</f>
        <v>QPSK</v>
      </c>
      <c r="T16" s="166">
        <f>'B-Wireless-Input-System Gain'!W34</f>
        <v>2</v>
      </c>
      <c r="U16" s="343">
        <f>'B-Wireless-Input-System Gain'!X34</f>
        <v>0.5</v>
      </c>
      <c r="V16" s="167">
        <f>IF('B-Wireless-Input-System Gain'!AA34=0,0,'B-Wireless-Input-System Gain'!AA34+10)</f>
        <v>13.5</v>
      </c>
      <c r="W16" s="168">
        <f>'B-Wireless-Input-System Gain'!Y34</f>
        <v>1</v>
      </c>
      <c r="X16" s="550">
        <f t="shared" si="1"/>
        <v>13.82</v>
      </c>
      <c r="Y16" s="551"/>
      <c r="AA16" s="164"/>
      <c r="AB16" s="165" t="str">
        <f>'B-Wireless-Input-System Gain'!AC34</f>
        <v>QPSK</v>
      </c>
      <c r="AC16" s="166">
        <f>'B-Wireless-Input-System Gain'!AD34</f>
        <v>2</v>
      </c>
      <c r="AD16" s="545">
        <f>'B-Wireless-Input-System Gain'!AE34</f>
        <v>0.5</v>
      </c>
      <c r="AE16" s="167">
        <f>IF('B-Wireless-Input-System Gain'!AH34=0,0,'B-Wireless-Input-System Gain'!AH34+10)</f>
        <v>13.5</v>
      </c>
      <c r="AF16" s="168">
        <f>'B-Wireless-Input-System Gain'!AF34</f>
        <v>1</v>
      </c>
      <c r="AG16" s="168">
        <f t="shared" si="2"/>
        <v>14.14</v>
      </c>
    </row>
    <row r="17" spans="1:33">
      <c r="A17" s="91" t="s">
        <v>98</v>
      </c>
      <c r="B17" s="57" t="str">
        <f>'1-Range_Estimator'!B18</f>
        <v>n/a</v>
      </c>
      <c r="C17" s="57" t="str">
        <f>'1-Range_Estimator'!C18</f>
        <v>n/a</v>
      </c>
      <c r="D17" s="57" t="str">
        <f>'1-Range_Estimator'!D18</f>
        <v>n/a</v>
      </c>
      <c r="E17" s="57" t="str">
        <f>'1-Range_Estimator'!E18</f>
        <v>n/a</v>
      </c>
      <c r="F17" s="57"/>
      <c r="G17" s="57"/>
      <c r="H17" s="57"/>
      <c r="I17" s="57"/>
      <c r="R17" s="164"/>
      <c r="S17" s="165" t="str">
        <f>'B-Wireless-Input-System Gain'!V35</f>
        <v>QPSK</v>
      </c>
      <c r="T17" s="166">
        <f>'B-Wireless-Input-System Gain'!W35</f>
        <v>2</v>
      </c>
      <c r="U17" s="343">
        <f>'B-Wireless-Input-System Gain'!X35</f>
        <v>0.75</v>
      </c>
      <c r="V17" s="167">
        <f>IF('B-Wireless-Input-System Gain'!AA35=0,0,'B-Wireless-Input-System Gain'!AA35+10)</f>
        <v>16.8</v>
      </c>
      <c r="W17" s="168">
        <f>'B-Wireless-Input-System Gain'!Y35</f>
        <v>1.5</v>
      </c>
      <c r="X17" s="550">
        <f t="shared" si="1"/>
        <v>20.73</v>
      </c>
      <c r="Y17" s="551"/>
      <c r="AA17" s="164"/>
      <c r="AB17" s="165" t="str">
        <f>'B-Wireless-Input-System Gain'!AC35</f>
        <v>QPSK</v>
      </c>
      <c r="AC17" s="166">
        <f>'B-Wireless-Input-System Gain'!AD35</f>
        <v>2</v>
      </c>
      <c r="AD17" s="545">
        <f>'B-Wireless-Input-System Gain'!AE35</f>
        <v>0.75</v>
      </c>
      <c r="AE17" s="167">
        <f>IF('B-Wireless-Input-System Gain'!AH35=0,0,'B-Wireless-Input-System Gain'!AH35+10)</f>
        <v>16.8</v>
      </c>
      <c r="AF17" s="168">
        <f>'B-Wireless-Input-System Gain'!AF35</f>
        <v>1.5</v>
      </c>
      <c r="AG17" s="168">
        <f t="shared" si="2"/>
        <v>21.21</v>
      </c>
    </row>
    <row r="18" spans="1:33">
      <c r="A18" s="342" t="s">
        <v>224</v>
      </c>
      <c r="B18" s="57" t="str">
        <f>'1-Range_Estimator'!B19</f>
        <v>n/a</v>
      </c>
      <c r="C18" s="22"/>
      <c r="D18" s="22"/>
      <c r="E18" s="22"/>
      <c r="F18" s="22"/>
      <c r="G18" s="22"/>
      <c r="H18" s="22"/>
      <c r="I18" s="22"/>
      <c r="R18" s="164"/>
      <c r="S18" s="165" t="str">
        <f>'B-Wireless-Input-System Gain'!V36</f>
        <v>16QAM</v>
      </c>
      <c r="T18" s="166">
        <f>'B-Wireless-Input-System Gain'!W36</f>
        <v>4</v>
      </c>
      <c r="U18" s="343">
        <f>'B-Wireless-Input-System Gain'!X36</f>
        <v>0.5</v>
      </c>
      <c r="V18" s="167">
        <f>IF('B-Wireless-Input-System Gain'!AA36=0,0,'B-Wireless-Input-System Gain'!AA36+10)</f>
        <v>18.899999999999999</v>
      </c>
      <c r="W18" s="168">
        <f>'B-Wireless-Input-System Gain'!Y36</f>
        <v>2</v>
      </c>
      <c r="X18" s="550">
        <f t="shared" si="1"/>
        <v>27.64</v>
      </c>
      <c r="Y18" s="551"/>
      <c r="AA18" s="164"/>
      <c r="AB18" s="165" t="str">
        <f>'B-Wireless-Input-System Gain'!AC36</f>
        <v>16QAM</v>
      </c>
      <c r="AC18" s="166">
        <f>'B-Wireless-Input-System Gain'!AD36</f>
        <v>4</v>
      </c>
      <c r="AD18" s="545">
        <f>'B-Wireless-Input-System Gain'!AE36</f>
        <v>0.5</v>
      </c>
      <c r="AE18" s="167">
        <f>IF('B-Wireless-Input-System Gain'!AH36=0,0,'B-Wireless-Input-System Gain'!AH36+10)</f>
        <v>18.899999999999999</v>
      </c>
      <c r="AF18" s="168">
        <f>'B-Wireless-Input-System Gain'!AF36</f>
        <v>2</v>
      </c>
      <c r="AG18" s="168">
        <f t="shared" si="2"/>
        <v>28.28</v>
      </c>
    </row>
    <row r="19" spans="1:33" ht="15.75">
      <c r="A19" s="171" t="s">
        <v>174</v>
      </c>
      <c r="B19" s="75"/>
      <c r="C19" s="75"/>
      <c r="D19" s="75"/>
      <c r="E19" s="209" t="s">
        <v>172</v>
      </c>
      <c r="F19" s="75"/>
      <c r="G19" s="75"/>
      <c r="H19" s="75"/>
      <c r="I19" s="122"/>
      <c r="R19" s="358"/>
      <c r="S19" s="359" t="str">
        <f>'B-Wireless-Input-System Gain'!V37</f>
        <v>16QAM</v>
      </c>
      <c r="T19" s="166">
        <f>'B-Wireless-Input-System Gain'!W37</f>
        <v>4</v>
      </c>
      <c r="U19" s="343">
        <f>'B-Wireless-Input-System Gain'!X37</f>
        <v>0.75</v>
      </c>
      <c r="V19" s="167">
        <f>IF('B-Wireless-Input-System Gain'!AA37=0,0,'B-Wireless-Input-System Gain'!AA37+10)</f>
        <v>23</v>
      </c>
      <c r="W19" s="168">
        <f>'B-Wireless-Input-System Gain'!Y37</f>
        <v>3</v>
      </c>
      <c r="X19" s="550">
        <f t="shared" si="1"/>
        <v>41.46</v>
      </c>
      <c r="Y19" s="551"/>
      <c r="AA19" s="358"/>
      <c r="AB19" s="165" t="str">
        <f>'B-Wireless-Input-System Gain'!AC37</f>
        <v>16QAM</v>
      </c>
      <c r="AC19" s="166">
        <f>'B-Wireless-Input-System Gain'!AD37</f>
        <v>4</v>
      </c>
      <c r="AD19" s="545">
        <f>'B-Wireless-Input-System Gain'!AE37</f>
        <v>0.75</v>
      </c>
      <c r="AE19" s="167">
        <f>IF('B-Wireless-Input-System Gain'!AH37=0,0,'B-Wireless-Input-System Gain'!AH37+10)</f>
        <v>23</v>
      </c>
      <c r="AF19" s="168">
        <f>'B-Wireless-Input-System Gain'!AF37</f>
        <v>3</v>
      </c>
      <c r="AG19" s="168">
        <f t="shared" si="2"/>
        <v>42.42</v>
      </c>
    </row>
    <row r="20" spans="1:33">
      <c r="A20" s="204" t="s">
        <v>100</v>
      </c>
      <c r="B20" s="205"/>
      <c r="C20" s="205"/>
      <c r="D20" s="205"/>
      <c r="E20" s="205"/>
      <c r="F20" s="205"/>
      <c r="G20" s="205" t="e">
        <f>IF(G12="n/a","n/a",E71)</f>
        <v>#REF!</v>
      </c>
      <c r="H20" s="205" t="e">
        <f>IF(H12="n/a","n/a",J71)</f>
        <v>#REF!</v>
      </c>
      <c r="I20" s="205" t="e">
        <f>IF(I12="n/a","n/a",O71)</f>
        <v>#REF!</v>
      </c>
      <c r="R20" s="161"/>
      <c r="S20" s="359" t="str">
        <f>'B-Wireless-Input-System Gain'!V38</f>
        <v>64QAM</v>
      </c>
      <c r="T20" s="166">
        <f>'B-Wireless-Input-System Gain'!W38</f>
        <v>6</v>
      </c>
      <c r="U20" s="343">
        <f>'B-Wireless-Input-System Gain'!X38</f>
        <v>0.5</v>
      </c>
      <c r="V20" s="167">
        <f>IF('B-Wireless-Input-System Gain'!AA38=0,0,'B-Wireless-Input-System Gain'!AA38+10)</f>
        <v>23.9</v>
      </c>
      <c r="W20" s="168">
        <f>'B-Wireless-Input-System Gain'!Y38</f>
        <v>3</v>
      </c>
      <c r="X20" s="550">
        <f t="shared" si="1"/>
        <v>41.46</v>
      </c>
      <c r="Y20" s="551"/>
      <c r="AA20" s="161"/>
      <c r="AB20" s="165" t="str">
        <f>'B-Wireless-Input-System Gain'!AC38</f>
        <v>64QAM</v>
      </c>
      <c r="AC20" s="166">
        <f>'B-Wireless-Input-System Gain'!AD38</f>
        <v>6</v>
      </c>
      <c r="AD20" s="545">
        <f>'B-Wireless-Input-System Gain'!AE38</f>
        <v>0.5</v>
      </c>
      <c r="AE20" s="167">
        <f>IF('B-Wireless-Input-System Gain'!AH38=0,0,'B-Wireless-Input-System Gain'!AH38+10)</f>
        <v>23.9</v>
      </c>
      <c r="AF20" s="168">
        <f>'B-Wireless-Input-System Gain'!AF38</f>
        <v>3</v>
      </c>
      <c r="AG20" s="168">
        <f t="shared" si="2"/>
        <v>42.42</v>
      </c>
    </row>
    <row r="21" spans="1:33">
      <c r="A21" s="204" t="s">
        <v>101</v>
      </c>
      <c r="B21" s="206"/>
      <c r="C21" s="206"/>
      <c r="D21" s="206"/>
      <c r="E21" s="206"/>
      <c r="F21" s="206"/>
      <c r="G21" s="206"/>
      <c r="H21" s="206"/>
      <c r="I21" s="206"/>
      <c r="R21" s="164"/>
      <c r="S21" s="359" t="str">
        <f>'B-Wireless-Input-System Gain'!V39</f>
        <v>64QAM</v>
      </c>
      <c r="T21" s="166">
        <f>'B-Wireless-Input-System Gain'!W39</f>
        <v>6</v>
      </c>
      <c r="U21" s="343">
        <f>'B-Wireless-Input-System Gain'!X39</f>
        <v>0.66666666666666663</v>
      </c>
      <c r="V21" s="167">
        <f>IF('B-Wireless-Input-System Gain'!AA39=0,0,'B-Wireless-Input-System Gain'!AA39+10)</f>
        <v>27.3</v>
      </c>
      <c r="W21" s="168">
        <f>'B-Wireless-Input-System Gain'!Y39</f>
        <v>4</v>
      </c>
      <c r="X21" s="550">
        <f t="shared" si="1"/>
        <v>55.28</v>
      </c>
      <c r="Y21" s="551"/>
      <c r="AA21" s="164"/>
      <c r="AB21" s="165" t="str">
        <f>'B-Wireless-Input-System Gain'!AC39</f>
        <v>64QAM</v>
      </c>
      <c r="AC21" s="166">
        <f>'B-Wireless-Input-System Gain'!AD39</f>
        <v>6</v>
      </c>
      <c r="AD21" s="545">
        <f>'B-Wireless-Input-System Gain'!AE39</f>
        <v>0.66666666666666663</v>
      </c>
      <c r="AE21" s="167">
        <f>IF('B-Wireless-Input-System Gain'!AH39=0,0,'B-Wireless-Input-System Gain'!AH39+10)</f>
        <v>27.3</v>
      </c>
      <c r="AF21" s="168">
        <f>'B-Wireless-Input-System Gain'!AF39</f>
        <v>4</v>
      </c>
      <c r="AG21" s="168">
        <f t="shared" si="2"/>
        <v>56.56</v>
      </c>
    </row>
    <row r="22" spans="1:33">
      <c r="A22" s="204" t="s">
        <v>30</v>
      </c>
      <c r="B22" s="206" t="str">
        <f>IF(B14="n/a","n/a",E101)</f>
        <v>n/a</v>
      </c>
      <c r="C22" s="206" t="str">
        <f>IF(C14="n/a","n/a",J101)</f>
        <v>n/a</v>
      </c>
      <c r="D22" s="206" t="str">
        <f>IF(D14="n/a","n/a",O101)</f>
        <v>n/a</v>
      </c>
      <c r="E22" s="206"/>
      <c r="F22" s="206"/>
      <c r="G22" s="206"/>
      <c r="H22" s="206"/>
      <c r="I22" s="206"/>
      <c r="R22" s="164"/>
      <c r="S22" s="359" t="str">
        <f>'B-Wireless-Input-System Gain'!V40</f>
        <v>64QAM</v>
      </c>
      <c r="T22" s="166">
        <f>'B-Wireless-Input-System Gain'!W40</f>
        <v>6</v>
      </c>
      <c r="U22" s="343">
        <f>'B-Wireless-Input-System Gain'!X40</f>
        <v>0.75</v>
      </c>
      <c r="V22" s="167">
        <f>IF('B-Wireless-Input-System Gain'!AA40=0,0,'B-Wireless-Input-System Gain'!AA40+10)</f>
        <v>28.5</v>
      </c>
      <c r="W22" s="168">
        <f>'B-Wireless-Input-System Gain'!Y40</f>
        <v>4.5</v>
      </c>
      <c r="X22" s="550">
        <f t="shared" si="1"/>
        <v>62.19</v>
      </c>
      <c r="Y22" s="551"/>
      <c r="AA22" s="164"/>
      <c r="AB22" s="165" t="str">
        <f>'B-Wireless-Input-System Gain'!AC40</f>
        <v>64QAM</v>
      </c>
      <c r="AC22" s="166">
        <f>'B-Wireless-Input-System Gain'!AD40</f>
        <v>6</v>
      </c>
      <c r="AD22" s="545">
        <f>'B-Wireless-Input-System Gain'!AE40</f>
        <v>0.75</v>
      </c>
      <c r="AE22" s="167">
        <f>IF('B-Wireless-Input-System Gain'!AH40=0,0,'B-Wireless-Input-System Gain'!AH40+10)</f>
        <v>28.5</v>
      </c>
      <c r="AF22" s="168">
        <f>'B-Wireless-Input-System Gain'!AF40</f>
        <v>4.5</v>
      </c>
      <c r="AG22" s="168">
        <f t="shared" si="2"/>
        <v>63.63</v>
      </c>
    </row>
    <row r="23" spans="1:33">
      <c r="A23" s="204" t="s">
        <v>72</v>
      </c>
      <c r="B23" s="206" t="str">
        <f>IF(B15="n/a","n/a",E131)</f>
        <v>n/a</v>
      </c>
      <c r="C23" s="206"/>
      <c r="D23" s="206" t="str">
        <f>IF(D15="n/a","n/a",J131)</f>
        <v>n/a</v>
      </c>
      <c r="E23" s="206"/>
      <c r="F23" s="206"/>
      <c r="G23" s="206"/>
      <c r="H23" s="206"/>
      <c r="I23" s="206"/>
      <c r="R23" s="360"/>
      <c r="S23" s="165" t="str">
        <f>'B-Wireless-Input-System Gain'!V41</f>
        <v>64QAM</v>
      </c>
      <c r="T23" s="166">
        <f>'B-Wireless-Input-System Gain'!W41</f>
        <v>6</v>
      </c>
      <c r="U23" s="343">
        <f>'B-Wireless-Input-System Gain'!X41</f>
        <v>0.83333333333333337</v>
      </c>
      <c r="V23" s="167">
        <f>IF('B-Wireless-Input-System Gain'!AA41=0,0,'B-Wireless-Input-System Gain'!AA41+10)</f>
        <v>30.3</v>
      </c>
      <c r="W23" s="168">
        <f>'B-Wireless-Input-System Gain'!Y41</f>
        <v>5</v>
      </c>
      <c r="X23" s="550">
        <f t="shared" si="1"/>
        <v>69.099999999999994</v>
      </c>
      <c r="Y23" s="551"/>
      <c r="AA23" s="360"/>
      <c r="AB23" s="165" t="str">
        <f>'B-Wireless-Input-System Gain'!AC41</f>
        <v>64QAM</v>
      </c>
      <c r="AC23" s="166">
        <f>'B-Wireless-Input-System Gain'!AD41</f>
        <v>6</v>
      </c>
      <c r="AD23" s="545">
        <f>'B-Wireless-Input-System Gain'!AE41</f>
        <v>0.83333333333333337</v>
      </c>
      <c r="AE23" s="167">
        <f>IF('B-Wireless-Input-System Gain'!AH41=0,0,'B-Wireless-Input-System Gain'!AH41+10)</f>
        <v>30.3</v>
      </c>
      <c r="AF23" s="168">
        <f>'B-Wireless-Input-System Gain'!AF41</f>
        <v>5</v>
      </c>
      <c r="AG23" s="168">
        <f t="shared" si="2"/>
        <v>70.7</v>
      </c>
    </row>
    <row r="24" spans="1:33">
      <c r="A24" s="207" t="s">
        <v>58</v>
      </c>
      <c r="B24" s="206" t="str">
        <f>IF(B16="n/a","n/a",E161)</f>
        <v>n/a</v>
      </c>
      <c r="C24" s="206"/>
      <c r="D24" s="206" t="str">
        <f>IF(D16="n/a","n/a",J161)</f>
        <v>n/a</v>
      </c>
      <c r="E24" s="206"/>
      <c r="F24" s="206" t="str">
        <f>IF(F16="n/a","n/a",O161)</f>
        <v>n/a</v>
      </c>
      <c r="G24" s="206"/>
      <c r="H24" s="206"/>
      <c r="I24" s="206"/>
      <c r="R24" s="172"/>
      <c r="S24" s="173"/>
      <c r="T24" s="174"/>
      <c r="U24" s="175"/>
      <c r="V24" s="174"/>
      <c r="W24" s="174"/>
      <c r="X24" s="174"/>
      <c r="Y24" s="176"/>
      <c r="Z24" s="176"/>
    </row>
    <row r="25" spans="1:33">
      <c r="A25" s="208" t="s">
        <v>98</v>
      </c>
      <c r="B25" s="206" t="str">
        <f>IF(B17="n/a","n/a",E191)</f>
        <v>n/a</v>
      </c>
      <c r="C25" s="206" t="str">
        <f>IF(C17="n/a","n/a",J191)</f>
        <v>n/a</v>
      </c>
      <c r="D25" s="206" t="str">
        <f>IF(D17="n/a","n/a",O191)</f>
        <v>n/a</v>
      </c>
      <c r="E25" s="206" t="str">
        <f>IF(E17="n/a","n/a",T191)</f>
        <v>n/a</v>
      </c>
      <c r="F25" s="206"/>
      <c r="G25" s="206"/>
      <c r="H25" s="206"/>
      <c r="I25" s="206"/>
      <c r="R25" s="172"/>
      <c r="S25" s="173"/>
      <c r="T25" s="174"/>
      <c r="U25" s="175"/>
      <c r="V25" s="174"/>
      <c r="W25" s="174"/>
      <c r="X25" s="174"/>
      <c r="Y25" s="176"/>
      <c r="Z25" s="176"/>
    </row>
    <row r="26" spans="1:33">
      <c r="A26" s="217" t="s">
        <v>224</v>
      </c>
      <c r="B26" s="206" t="str">
        <f>IF(B18="n/a","n/a",E221)</f>
        <v>n/a</v>
      </c>
      <c r="C26" s="206"/>
      <c r="D26" s="206"/>
      <c r="E26" s="206"/>
      <c r="F26" s="206"/>
      <c r="G26" s="206"/>
      <c r="H26" s="206"/>
      <c r="I26" s="206"/>
      <c r="R26" s="172"/>
      <c r="S26" s="173"/>
      <c r="T26" s="174"/>
      <c r="U26" s="175"/>
      <c r="V26" s="174"/>
      <c r="W26" s="174"/>
      <c r="X26" s="174"/>
      <c r="Y26" s="176"/>
      <c r="Z26" s="176"/>
    </row>
    <row r="27" spans="1:33" ht="15.75">
      <c r="A27" s="171" t="s">
        <v>173</v>
      </c>
      <c r="B27" s="75"/>
      <c r="C27" s="198">
        <f>I5</f>
        <v>3</v>
      </c>
      <c r="D27" s="199" t="s">
        <v>171</v>
      </c>
      <c r="E27" s="209" t="s">
        <v>172</v>
      </c>
      <c r="F27" s="75"/>
      <c r="G27" s="75"/>
      <c r="H27" s="75"/>
      <c r="I27" s="122"/>
      <c r="R27" s="172"/>
      <c r="S27" s="173"/>
      <c r="T27" s="174"/>
      <c r="U27" s="175"/>
      <c r="V27" s="174"/>
      <c r="W27" s="174"/>
      <c r="X27" s="174"/>
      <c r="Y27" s="176"/>
      <c r="Z27" s="176"/>
    </row>
    <row r="28" spans="1:33">
      <c r="A28" s="200" t="s">
        <v>100</v>
      </c>
      <c r="B28" s="201"/>
      <c r="C28" s="201"/>
      <c r="D28" s="201"/>
      <c r="E28" s="201"/>
      <c r="F28" s="201"/>
      <c r="G28" s="201" t="e">
        <f>IF(G12="n/a","n/a",3*VLOOKUP($I$5/2,B46:E71,4))</f>
        <v>#REF!</v>
      </c>
      <c r="H28" s="201" t="e">
        <f>IF(H12="n/a","n/a",3*VLOOKUP($I$5/2,G46:J71,4))</f>
        <v>#REF!</v>
      </c>
      <c r="I28" s="201" t="e">
        <f>IF(I12="n/a","n/a",3*VLOOKUP($I$5/2,L46:O71,4))</f>
        <v>#REF!</v>
      </c>
      <c r="R28" s="172"/>
      <c r="S28" s="173"/>
      <c r="T28" s="174"/>
      <c r="U28" s="175"/>
      <c r="V28" s="174"/>
      <c r="W28" s="174"/>
      <c r="X28" s="174"/>
      <c r="Y28" s="176"/>
      <c r="Z28" s="176"/>
    </row>
    <row r="29" spans="1:33">
      <c r="A29" s="200" t="s">
        <v>101</v>
      </c>
      <c r="B29" s="201"/>
      <c r="C29" s="201"/>
      <c r="D29" s="201"/>
      <c r="E29" s="201"/>
      <c r="F29" s="201"/>
      <c r="G29" s="201"/>
      <c r="H29" s="201"/>
      <c r="I29" s="201"/>
      <c r="R29" s="172"/>
      <c r="S29" s="173"/>
      <c r="T29" s="174"/>
      <c r="U29" s="175"/>
      <c r="V29" s="174"/>
      <c r="W29" s="174"/>
      <c r="X29" s="174"/>
      <c r="Y29" s="176"/>
      <c r="Z29" s="176"/>
    </row>
    <row r="30" spans="1:33">
      <c r="A30" s="200" t="s">
        <v>30</v>
      </c>
      <c r="B30" s="201" t="str">
        <f>IF(B14="n/a","n/a",3*VLOOKUP($I$5/2,B76:E101,4))</f>
        <v>n/a</v>
      </c>
      <c r="C30" s="201" t="str">
        <f>IF(C14="n/a","n/a",3*VLOOKUP($I$5/2,G76:J101,4))</f>
        <v>n/a</v>
      </c>
      <c r="D30" s="201" t="str">
        <f>IF(D14="n/a","n/a",3*VLOOKUP($I$5/2,L76:O101,4))</f>
        <v>n/a</v>
      </c>
      <c r="E30" s="201"/>
      <c r="F30" s="201"/>
      <c r="G30" s="201"/>
      <c r="H30" s="201"/>
      <c r="I30" s="201"/>
      <c r="R30" s="172"/>
      <c r="S30" s="173"/>
      <c r="T30" s="174"/>
      <c r="U30" s="175"/>
      <c r="V30" s="174"/>
      <c r="W30" s="174"/>
      <c r="X30" s="174"/>
      <c r="Y30" s="176"/>
      <c r="Z30" s="176"/>
    </row>
    <row r="31" spans="1:33">
      <c r="A31" s="200" t="s">
        <v>72</v>
      </c>
      <c r="B31" s="201" t="str">
        <f>IF(B15="n/a","n/a",3*VLOOKUP($I$5/2,B106:E131,4))</f>
        <v>n/a</v>
      </c>
      <c r="C31" s="202"/>
      <c r="D31" s="201" t="str">
        <f>IF(D15="n/a","n/a",3*VLOOKUP($I$5/2,G106:J131,4))</f>
        <v>n/a</v>
      </c>
      <c r="E31" s="201"/>
      <c r="F31" s="201"/>
      <c r="G31" s="201"/>
      <c r="H31" s="201"/>
      <c r="I31" s="201"/>
      <c r="R31" s="172"/>
      <c r="S31" s="173"/>
      <c r="T31" s="174"/>
      <c r="U31" s="175"/>
      <c r="V31" s="174"/>
      <c r="W31" s="174"/>
      <c r="X31" s="174"/>
      <c r="Y31" s="176"/>
      <c r="Z31" s="176"/>
    </row>
    <row r="32" spans="1:33">
      <c r="A32" s="200" t="s">
        <v>58</v>
      </c>
      <c r="B32" s="201" t="str">
        <f>IF(B16="n/a","n/a",3*VLOOKUP($I$5/2,B136:E161,4))</f>
        <v>n/a</v>
      </c>
      <c r="C32" s="201"/>
      <c r="D32" s="201" t="str">
        <f>IF(D16="n/a","n/a",3*VLOOKUP($I$5/2,G136:J161,4))</f>
        <v>n/a</v>
      </c>
      <c r="E32" s="201"/>
      <c r="F32" s="201" t="str">
        <f>IF(F16="n/a","n/a",3*VLOOKUP($I$5/2,L136:O161,4))</f>
        <v>n/a</v>
      </c>
      <c r="G32" s="201"/>
      <c r="H32" s="201"/>
      <c r="I32" s="201"/>
      <c r="R32" s="172"/>
      <c r="S32" s="173"/>
      <c r="T32" s="174"/>
      <c r="U32" s="175"/>
      <c r="V32" s="174"/>
      <c r="W32" s="174"/>
      <c r="X32" s="174"/>
      <c r="Y32" s="176"/>
      <c r="Z32" s="176"/>
    </row>
    <row r="33" spans="1:26">
      <c r="A33" s="203" t="s">
        <v>98</v>
      </c>
      <c r="B33" s="201" t="str">
        <f>IF(B17="n/a","n/a",3*VLOOKUP($I$5/2,B166:E191,4))</f>
        <v>n/a</v>
      </c>
      <c r="C33" s="201" t="str">
        <f>IF(C17="n/a","n/a",3*VLOOKUP($I$5/2,G166:J191,4))</f>
        <v>n/a</v>
      </c>
      <c r="D33" s="201" t="str">
        <f>IF(D17="n/a","n/a",3*VLOOKUP($I$5/2,L166:O191,4))</f>
        <v>n/a</v>
      </c>
      <c r="E33" s="201" t="str">
        <f>IF(E17="n/a","n/a",3*VLOOKUP($I$5/2,Q166:T191,4))</f>
        <v>n/a</v>
      </c>
      <c r="F33" s="201"/>
      <c r="G33" s="201"/>
      <c r="H33" s="201"/>
      <c r="I33" s="201"/>
      <c r="R33" s="172"/>
      <c r="S33" s="173"/>
      <c r="T33" s="174"/>
      <c r="U33" s="175"/>
      <c r="V33" s="174"/>
      <c r="W33" s="174"/>
      <c r="X33" s="174"/>
      <c r="Y33" s="176"/>
      <c r="Z33" s="176"/>
    </row>
    <row r="34" spans="1:26">
      <c r="A34" s="203" t="s">
        <v>224</v>
      </c>
      <c r="B34" s="201" t="str">
        <f>IF(B18="n/a","n/a",3*VLOOKUP($I$5/2,B196:E221,4))</f>
        <v>n/a</v>
      </c>
      <c r="C34" s="201"/>
      <c r="D34" s="201"/>
      <c r="E34" s="201"/>
      <c r="F34" s="201"/>
      <c r="G34" s="201"/>
      <c r="H34" s="201"/>
      <c r="I34" s="201"/>
      <c r="R34" s="172"/>
      <c r="S34" s="173"/>
      <c r="T34" s="174"/>
      <c r="U34" s="175"/>
      <c r="V34" s="174"/>
      <c r="W34" s="174"/>
      <c r="X34" s="174"/>
      <c r="Y34" s="176"/>
      <c r="Z34" s="176"/>
    </row>
    <row r="35" spans="1:26" ht="15.75">
      <c r="A35" s="71" t="s">
        <v>146</v>
      </c>
      <c r="B35" s="75"/>
      <c r="C35" s="75"/>
      <c r="D35" s="75"/>
      <c r="E35" s="15"/>
      <c r="F35" s="76"/>
      <c r="G35" s="76"/>
      <c r="H35" s="76"/>
      <c r="I35" s="74"/>
      <c r="R35" s="172"/>
      <c r="S35" s="6"/>
      <c r="T35" s="6"/>
      <c r="U35" s="6"/>
      <c r="V35" s="6"/>
      <c r="W35" s="6"/>
      <c r="X35" s="6"/>
      <c r="Y35" s="6"/>
      <c r="Z35" s="6"/>
    </row>
    <row r="36" spans="1:26" ht="30">
      <c r="A36" s="3" t="s">
        <v>23</v>
      </c>
      <c r="B36" s="3" t="s">
        <v>60</v>
      </c>
      <c r="C36" s="3" t="s">
        <v>59</v>
      </c>
      <c r="D36" s="63" t="s">
        <v>36</v>
      </c>
      <c r="E36" s="3" t="s">
        <v>75</v>
      </c>
      <c r="F36" s="64" t="s">
        <v>76</v>
      </c>
      <c r="G36" s="3" t="s">
        <v>0</v>
      </c>
      <c r="H36" s="3" t="s">
        <v>1</v>
      </c>
      <c r="I36" s="3" t="s">
        <v>2</v>
      </c>
      <c r="R36" s="172"/>
      <c r="S36" s="6"/>
      <c r="T36" s="6"/>
      <c r="U36" s="6"/>
      <c r="V36" s="6"/>
      <c r="W36" s="6"/>
      <c r="X36" s="6"/>
      <c r="Y36" s="6"/>
      <c r="Z36" s="6"/>
    </row>
    <row r="37" spans="1:26">
      <c r="A37" s="38" t="s">
        <v>100</v>
      </c>
      <c r="B37" s="22"/>
      <c r="C37" s="22"/>
      <c r="D37" s="22"/>
      <c r="E37" s="22"/>
      <c r="F37" s="22"/>
      <c r="G37" s="22">
        <f>IF(G12="n/a","n/a",'1-Range_Estimator'!G22*10)</f>
        <v>63.474999999999994</v>
      </c>
      <c r="H37" s="22">
        <f>IF(H12="n/a","n/a",'1-Range_Estimator'!H22*10)</f>
        <v>63.973571428571425</v>
      </c>
      <c r="I37" s="22">
        <f>IF(I12="n/a","n/a",'1-Range_Estimator'!I22*10)</f>
        <v>64.221428571428575</v>
      </c>
    </row>
    <row r="38" spans="1:26">
      <c r="A38" s="38" t="s">
        <v>101</v>
      </c>
      <c r="B38" s="22"/>
      <c r="C38" s="22"/>
      <c r="D38" s="22"/>
      <c r="E38" s="22"/>
      <c r="F38" s="22"/>
      <c r="G38" s="22">
        <f>IF(G13="n/a","n/a",'1-Range_Estimator'!G23*10)</f>
        <v>63.474999999999994</v>
      </c>
      <c r="H38" s="22">
        <f>IF(H13="n/a","n/a",'1-Range_Estimator'!H23*10)</f>
        <v>63.973571428571425</v>
      </c>
      <c r="I38" s="22">
        <f>IF(I13="n/a","n/a",'1-Range_Estimator'!I23*10)</f>
        <v>64.221428571428575</v>
      </c>
    </row>
    <row r="39" spans="1:26">
      <c r="A39" s="38" t="s">
        <v>30</v>
      </c>
      <c r="B39" s="22" t="str">
        <f>IF(B14="n/a","n/a",'1-Range_Estimator'!B24*10)</f>
        <v>n/a</v>
      </c>
      <c r="C39" s="22" t="str">
        <f>IF(C14="n/a","n/a",'1-Range_Estimator'!C24*10)</f>
        <v>n/a</v>
      </c>
      <c r="D39" s="22" t="str">
        <f>IF(D14="n/a","n/a",'1-Range_Estimator'!D24*10)</f>
        <v>n/a</v>
      </c>
      <c r="E39" s="22"/>
      <c r="F39" s="22"/>
      <c r="G39" s="22"/>
      <c r="H39" s="22"/>
      <c r="I39" s="22"/>
    </row>
    <row r="40" spans="1:26">
      <c r="A40" s="38" t="s">
        <v>72</v>
      </c>
      <c r="B40" s="22" t="str">
        <f>IF(B15="n/a","n/a",'1-Range_Estimator'!B25*10)</f>
        <v>n/a</v>
      </c>
      <c r="C40" s="22"/>
      <c r="D40" s="22" t="str">
        <f>IF(D15="n/a","n/a",'1-Range_Estimator'!D25*10)</f>
        <v>n/a</v>
      </c>
      <c r="E40" s="22"/>
      <c r="F40" s="22"/>
      <c r="G40" s="22"/>
      <c r="H40" s="22"/>
      <c r="I40" s="22"/>
    </row>
    <row r="41" spans="1:26">
      <c r="A41" s="56" t="s">
        <v>58</v>
      </c>
      <c r="B41" s="22" t="str">
        <f>IF(B16="n/a","n/a",'1-Range_Estimator'!B26*10)</f>
        <v>n/a</v>
      </c>
      <c r="C41" s="22"/>
      <c r="D41" s="22" t="str">
        <f>IF(D16="n/a","n/a",'1-Range_Estimator'!D26*10)</f>
        <v>n/a</v>
      </c>
      <c r="E41" s="22"/>
      <c r="F41" s="22" t="str">
        <f>IF(F16="n/a","n/a",'1-Range_Estimator'!F26*10)</f>
        <v>n/a</v>
      </c>
      <c r="G41" s="22"/>
      <c r="H41" s="22"/>
      <c r="I41" s="22"/>
    </row>
    <row r="42" spans="1:26">
      <c r="A42" s="7" t="s">
        <v>98</v>
      </c>
      <c r="B42" s="22" t="str">
        <f>IF(B17="n/a","n/a",'1-Range_Estimator'!B27*10)</f>
        <v>n/a</v>
      </c>
      <c r="C42" s="22" t="str">
        <f>IF(C17="n/a","n/a",'1-Range_Estimator'!C27*10)</f>
        <v>n/a</v>
      </c>
      <c r="D42" s="22" t="str">
        <f>IF(D17="n/a","n/a",'1-Range_Estimator'!D27*10)</f>
        <v>n/a</v>
      </c>
      <c r="E42" s="22" t="str">
        <f>IF(E17="n/a","n/a",'1-Range_Estimator'!E27*10)</f>
        <v>n/a</v>
      </c>
      <c r="F42" s="22"/>
      <c r="G42" s="22"/>
      <c r="H42" s="22"/>
      <c r="I42" s="22"/>
    </row>
    <row r="43" spans="1:26">
      <c r="A43" s="342" t="s">
        <v>224</v>
      </c>
      <c r="B43" s="22" t="str">
        <f>IF(B18="n/a","n/a",'1-Range_Estimator'!B28*10)</f>
        <v>n/a</v>
      </c>
      <c r="C43" s="24"/>
      <c r="D43" s="24"/>
      <c r="E43" s="24"/>
      <c r="F43" s="24"/>
      <c r="G43" s="24"/>
      <c r="H43" s="24"/>
      <c r="I43" s="24"/>
    </row>
    <row r="44" spans="1:26">
      <c r="A44" s="118" t="s">
        <v>100</v>
      </c>
      <c r="B44" s="119" t="s">
        <v>0</v>
      </c>
      <c r="C44" s="120">
        <f>G37</f>
        <v>63.474999999999994</v>
      </c>
      <c r="D44" s="121" t="s">
        <v>114</v>
      </c>
      <c r="E44" s="81"/>
      <c r="F44" s="122"/>
      <c r="G44" s="119" t="s">
        <v>1</v>
      </c>
      <c r="H44" s="120">
        <f>H37</f>
        <v>63.973571428571425</v>
      </c>
      <c r="I44" s="121" t="s">
        <v>114</v>
      </c>
      <c r="J44" s="123"/>
      <c r="K44" s="122"/>
      <c r="L44" s="124" t="s">
        <v>2</v>
      </c>
      <c r="M44" s="120">
        <f>I37</f>
        <v>64.221428571428575</v>
      </c>
      <c r="N44" s="121" t="s">
        <v>114</v>
      </c>
      <c r="O44" s="81"/>
      <c r="P44" s="74"/>
    </row>
    <row r="45" spans="1:26" ht="45">
      <c r="B45" s="3" t="s">
        <v>95</v>
      </c>
      <c r="C45" s="3" t="s">
        <v>96</v>
      </c>
      <c r="D45" s="3" t="s">
        <v>6</v>
      </c>
      <c r="E45" s="125" t="s">
        <v>113</v>
      </c>
      <c r="F45" s="3" t="s">
        <v>97</v>
      </c>
      <c r="G45" s="3" t="s">
        <v>95</v>
      </c>
      <c r="H45" s="3" t="s">
        <v>96</v>
      </c>
      <c r="I45" s="3" t="s">
        <v>6</v>
      </c>
      <c r="J45" s="125" t="s">
        <v>113</v>
      </c>
      <c r="K45" s="3" t="s">
        <v>97</v>
      </c>
      <c r="L45" s="3" t="s">
        <v>95</v>
      </c>
      <c r="M45" s="3" t="s">
        <v>96</v>
      </c>
      <c r="N45" s="3" t="s">
        <v>6</v>
      </c>
      <c r="O45" s="125" t="s">
        <v>113</v>
      </c>
      <c r="P45" s="3" t="s">
        <v>97</v>
      </c>
    </row>
    <row r="46" spans="1:26">
      <c r="A46">
        <v>0</v>
      </c>
      <c r="B46" s="98">
        <v>0.1</v>
      </c>
      <c r="C46" s="22">
        <f t="shared" ref="C46:C58" si="3">C$71+C$44*LOG10(B$71/B46)</f>
        <v>38.555457653671908</v>
      </c>
      <c r="D46" s="22" t="e">
        <f>VLOOKUP(C46,'2-SNR-Chan Cap vs Range'!$V$9:$Y$23,5)</f>
        <v>#REF!</v>
      </c>
      <c r="E46" s="22" t="e">
        <f>D46</f>
        <v>#REF!</v>
      </c>
      <c r="F46" s="99">
        <f t="shared" ref="F46:F58" si="4">B46^2/B$71^2</f>
        <v>9.2209330156640151E-2</v>
      </c>
      <c r="G46" s="98">
        <f>B46</f>
        <v>0.1</v>
      </c>
      <c r="H46" s="22">
        <f t="shared" ref="H46:H58" si="5">H$71+H$44*LOG10(G$71/G46)</f>
        <v>40.736766178998764</v>
      </c>
      <c r="I46" s="22" t="e">
        <f>VLOOKUP(H46,'2-SNR-Chan Cap vs Range'!$V$9:$Y$23,5)</f>
        <v>#REF!</v>
      </c>
      <c r="J46" s="22" t="e">
        <f>I46</f>
        <v>#REF!</v>
      </c>
      <c r="K46" s="99">
        <f t="shared" ref="K46:K58" si="6">G46^2/G$71^2</f>
        <v>8.0287647986027111E-2</v>
      </c>
      <c r="L46" s="98">
        <f>G46</f>
        <v>0.1</v>
      </c>
      <c r="M46" s="22">
        <f t="shared" ref="M46:M58" si="7">M$71+M$44*LOG10(L$71/L46)</f>
        <v>40.857638529216658</v>
      </c>
      <c r="N46" s="22" t="e">
        <f>VLOOKUP(M46,'2-SNR-Chan Cap vs Range'!$V$9:$Y$23,5)</f>
        <v>#REF!</v>
      </c>
      <c r="O46" s="22" t="e">
        <f>N46</f>
        <v>#REF!</v>
      </c>
      <c r="P46" s="99">
        <f t="shared" ref="P46:P58" si="8">L46^2/L$71^2</f>
        <v>8.0373320929365777E-2</v>
      </c>
    </row>
    <row r="47" spans="1:26">
      <c r="A47">
        <f>A46+1</f>
        <v>1</v>
      </c>
      <c r="B47" s="22">
        <f>(B46^2+(B$71^2-B$46^2)/25)^0.5</f>
        <v>0.11805912000154632</v>
      </c>
      <c r="C47" s="22">
        <f t="shared" si="3"/>
        <v>33.978939243089641</v>
      </c>
      <c r="D47" s="22" t="e">
        <f>VLOOKUP(C47,'2-SNR-Chan Cap vs Range'!$V$9:$Y$23,5)</f>
        <v>#REF!</v>
      </c>
      <c r="E47" s="22" t="e">
        <f>SUM(D$47:D47)/$A47</f>
        <v>#REF!</v>
      </c>
      <c r="F47" s="99">
        <f t="shared" si="4"/>
        <v>0.12852095695037455</v>
      </c>
      <c r="G47" s="22">
        <f>(G46^2+(G$71^2-G$46^2)/25)^0.5</f>
        <v>0.12075631002548436</v>
      </c>
      <c r="H47" s="22">
        <f t="shared" si="5"/>
        <v>35.496701580093671</v>
      </c>
      <c r="I47" s="22" t="e">
        <f>VLOOKUP(H47,'2-SNR-Chan Cap vs Range'!$V$9:$Y$23,5)</f>
        <v>#REF!</v>
      </c>
      <c r="J47" s="22" t="e">
        <f>SUM(I$47:I47)/$A47</f>
        <v>#REF!</v>
      </c>
      <c r="K47" s="99">
        <f t="shared" si="6"/>
        <v>0.11707614206658604</v>
      </c>
      <c r="L47" s="22">
        <f>(L46^2+(L$71^2-L$46^2)/25)^0.5</f>
        <v>0.12073431913847252</v>
      </c>
      <c r="M47" s="22">
        <f t="shared" si="7"/>
        <v>35.602351677396143</v>
      </c>
      <c r="N47" s="22" t="e">
        <f>VLOOKUP(M47,'2-SNR-Chan Cap vs Range'!$V$9:$Y$23,5)</f>
        <v>#REF!</v>
      </c>
      <c r="O47" s="22" t="e">
        <f>SUM(N$47:N47)/$A47</f>
        <v>#REF!</v>
      </c>
      <c r="P47" s="99">
        <f t="shared" si="8"/>
        <v>0.11715838809219113</v>
      </c>
    </row>
    <row r="48" spans="1:26">
      <c r="A48">
        <f t="shared" ref="A48:A71" si="9">A47+1</f>
        <v>2</v>
      </c>
      <c r="B48" s="22">
        <f t="shared" ref="B48:B70" si="10">(B47^2+(B$71^2-B$46^2)/25)^0.5</f>
        <v>0.13370082883467488</v>
      </c>
      <c r="C48" s="22">
        <f t="shared" si="3"/>
        <v>30.549095685541655</v>
      </c>
      <c r="D48" s="22" t="e">
        <f>VLOOKUP(C48,'2-SNR-Chan Cap vs Range'!$V$9:$Y$23,5)</f>
        <v>#REF!</v>
      </c>
      <c r="E48" s="22" t="e">
        <f>SUM(D$47:D48)/$A48</f>
        <v>#REF!</v>
      </c>
      <c r="F48" s="99">
        <f t="shared" si="4"/>
        <v>0.164832583744109</v>
      </c>
      <c r="G48" s="22">
        <f t="shared" ref="G48:G70" si="11">(G47^2+(G$71^2-G$46^2)/25)^0.5</f>
        <v>0.13843472404690157</v>
      </c>
      <c r="H48" s="22">
        <f t="shared" si="5"/>
        <v>31.700816566537075</v>
      </c>
      <c r="I48" s="22" t="e">
        <f>VLOOKUP(H48,'2-SNR-Chan Cap vs Range'!$V$9:$Y$23,5)</f>
        <v>#REF!</v>
      </c>
      <c r="J48" s="22" t="e">
        <f>SUM(I$47:I48)/$A48</f>
        <v>#REF!</v>
      </c>
      <c r="K48" s="99">
        <f t="shared" si="6"/>
        <v>0.15386463614714499</v>
      </c>
      <c r="L48" s="22">
        <f t="shared" ref="L48:L70" si="12">(L47^2+(L$71^2-L$46^2)/25)^0.5</f>
        <v>0.13839635701730396</v>
      </c>
      <c r="M48" s="22">
        <f t="shared" si="7"/>
        <v>31.794411359164918</v>
      </c>
      <c r="N48" s="22" t="e">
        <f>VLOOKUP(M48,'2-SNR-Chan Cap vs Range'!$V$9:$Y$23,5)</f>
        <v>#REF!</v>
      </c>
      <c r="O48" s="22" t="e">
        <f>SUM(N$47:N48)/$A48</f>
        <v>#REF!</v>
      </c>
      <c r="P48" s="99">
        <f t="shared" si="8"/>
        <v>0.15394345525501649</v>
      </c>
    </row>
    <row r="49" spans="1:16">
      <c r="A49">
        <f t="shared" si="9"/>
        <v>3</v>
      </c>
      <c r="B49" s="22">
        <f t="shared" si="10"/>
        <v>0.14769518423638106</v>
      </c>
      <c r="C49" s="22">
        <f t="shared" si="3"/>
        <v>27.804929546245827</v>
      </c>
      <c r="D49" s="22" t="e">
        <f>VLOOKUP(C49,'2-SNR-Chan Cap vs Range'!$V$9:$Y$23,5)</f>
        <v>#REF!</v>
      </c>
      <c r="E49" s="22" t="e">
        <f>SUM(D$47:D49)/$A49</f>
        <v>#REF!</v>
      </c>
      <c r="F49" s="99">
        <f t="shared" si="4"/>
        <v>0.2011442105378434</v>
      </c>
      <c r="G49" s="22">
        <f t="shared" si="11"/>
        <v>0.15409821294522749</v>
      </c>
      <c r="H49" s="22">
        <f t="shared" si="5"/>
        <v>28.722682854331381</v>
      </c>
      <c r="I49" s="22" t="e">
        <f>VLOOKUP(H49,'2-SNR-Chan Cap vs Range'!$V$9:$Y$23,5)</f>
        <v>#REF!</v>
      </c>
      <c r="J49" s="22" t="e">
        <f>SUM(I$47:I49)/$A49</f>
        <v>#REF!</v>
      </c>
      <c r="K49" s="99">
        <f t="shared" si="6"/>
        <v>0.19065313022770389</v>
      </c>
      <c r="L49" s="22">
        <f t="shared" si="12"/>
        <v>0.15404651068262334</v>
      </c>
      <c r="M49" s="22">
        <f t="shared" si="7"/>
        <v>28.806367650641729</v>
      </c>
      <c r="N49" s="22" t="e">
        <f>VLOOKUP(M49,'2-SNR-Chan Cap vs Range'!$V$9:$Y$23,5)</f>
        <v>#REF!</v>
      </c>
      <c r="O49" s="22" t="e">
        <f>SUM(N$47:N49)/$A49</f>
        <v>#REF!</v>
      </c>
      <c r="P49" s="99">
        <f t="shared" si="8"/>
        <v>0.19072852241784183</v>
      </c>
    </row>
    <row r="50" spans="1:16">
      <c r="A50">
        <f t="shared" si="9"/>
        <v>4</v>
      </c>
      <c r="B50" s="22">
        <f t="shared" si="10"/>
        <v>0.16047374633303124</v>
      </c>
      <c r="C50" s="22">
        <f t="shared" si="3"/>
        <v>25.517439290897919</v>
      </c>
      <c r="D50" s="22" t="e">
        <f>VLOOKUP(C50,'2-SNR-Chan Cap vs Range'!$V$9:$Y$23,5)</f>
        <v>#REF!</v>
      </c>
      <c r="E50" s="22" t="e">
        <f>SUM(D$47:D50)/$A50</f>
        <v>#REF!</v>
      </c>
      <c r="F50" s="99">
        <f t="shared" si="4"/>
        <v>0.23745583733157782</v>
      </c>
      <c r="G50" s="22">
        <f t="shared" si="11"/>
        <v>0.1683102660085937</v>
      </c>
      <c r="H50" s="22">
        <f t="shared" si="5"/>
        <v>26.271663151033337</v>
      </c>
      <c r="I50" s="22" t="e">
        <f>VLOOKUP(H50,'2-SNR-Chan Cap vs Range'!$V$9:$Y$23,5)</f>
        <v>#REF!</v>
      </c>
      <c r="J50" s="22" t="e">
        <f>SUM(I$47:I50)/$A50</f>
        <v>#REF!</v>
      </c>
      <c r="K50" s="99">
        <f t="shared" si="6"/>
        <v>0.22744162430826281</v>
      </c>
      <c r="L50" s="22">
        <f t="shared" si="12"/>
        <v>0.1682471493705677</v>
      </c>
      <c r="M50" s="22">
        <f t="shared" si="7"/>
        <v>26.346953511267895</v>
      </c>
      <c r="N50" s="22" t="e">
        <f>VLOOKUP(M50,'2-SNR-Chan Cap vs Range'!$V$9:$Y$23,5)</f>
        <v>#REF!</v>
      </c>
      <c r="O50" s="22" t="e">
        <f>SUM(N$47:N50)/$A50</f>
        <v>#REF!</v>
      </c>
      <c r="P50" s="99">
        <f t="shared" si="8"/>
        <v>0.2275135895806672</v>
      </c>
    </row>
    <row r="51" spans="1:16">
      <c r="A51">
        <f t="shared" si="9"/>
        <v>5</v>
      </c>
      <c r="B51" s="22">
        <f t="shared" si="10"/>
        <v>0.17230722294116857</v>
      </c>
      <c r="C51" s="22">
        <f t="shared" si="3"/>
        <v>23.5560940698271</v>
      </c>
      <c r="D51" s="22" t="e">
        <f>VLOOKUP(C51,'2-SNR-Chan Cap vs Range'!$V$9:$Y$23,5)</f>
        <v>#REF!</v>
      </c>
      <c r="E51" s="22" t="e">
        <f>SUM(D$47:D51)/$A51</f>
        <v>#REF!</v>
      </c>
      <c r="F51" s="99">
        <f t="shared" si="4"/>
        <v>0.27376746412531217</v>
      </c>
      <c r="G51" s="22">
        <f t="shared" si="11"/>
        <v>0.18141232608302682</v>
      </c>
      <c r="H51" s="22">
        <f t="shared" si="5"/>
        <v>24.188927689962647</v>
      </c>
      <c r="I51" s="22" t="e">
        <f>VLOOKUP(H51,'2-SNR-Chan Cap vs Range'!$V$9:$Y$23,5)</f>
        <v>#REF!</v>
      </c>
      <c r="J51" s="22" t="e">
        <f>SUM(I$47:I51)/$A51</f>
        <v>#REF!</v>
      </c>
      <c r="K51" s="99">
        <f t="shared" si="6"/>
        <v>0.26423011838882166</v>
      </c>
      <c r="L51" s="22">
        <f t="shared" si="12"/>
        <v>0.18133912729786875</v>
      </c>
      <c r="M51" s="22">
        <f t="shared" si="7"/>
        <v>24.256943755250408</v>
      </c>
      <c r="N51" s="22" t="e">
        <f>VLOOKUP(M51,'2-SNR-Chan Cap vs Range'!$V$9:$Y$23,5)</f>
        <v>#REF!</v>
      </c>
      <c r="O51" s="22" t="e">
        <f>SUM(N$47:N51)/$A51</f>
        <v>#REF!</v>
      </c>
      <c r="P51" s="99">
        <f t="shared" si="8"/>
        <v>0.26429865674349257</v>
      </c>
    </row>
    <row r="52" spans="1:16">
      <c r="A52">
        <f t="shared" si="9"/>
        <v>6</v>
      </c>
      <c r="B52" s="22">
        <f t="shared" si="10"/>
        <v>0.18337866531643501</v>
      </c>
      <c r="C52" s="22">
        <f t="shared" si="3"/>
        <v>21.839392098701378</v>
      </c>
      <c r="D52" s="22" t="e">
        <f>VLOOKUP(C52,'2-SNR-Chan Cap vs Range'!$V$9:$Y$23,5)</f>
        <v>#REF!</v>
      </c>
      <c r="E52" s="22" t="e">
        <f>SUM(D$47:D52)/$A52</f>
        <v>#REF!</v>
      </c>
      <c r="F52" s="99">
        <f t="shared" si="4"/>
        <v>0.31007909091904667</v>
      </c>
      <c r="G52" s="22">
        <f t="shared" si="11"/>
        <v>0.19362984910861583</v>
      </c>
      <c r="H52" s="22">
        <f t="shared" si="5"/>
        <v>22.378122797731187</v>
      </c>
      <c r="I52" s="22" t="e">
        <f>VLOOKUP(H52,'2-SNR-Chan Cap vs Range'!$V$9:$Y$23,5)</f>
        <v>#REF!</v>
      </c>
      <c r="J52" s="22" t="e">
        <f>SUM(I$47:I52)/$A52</f>
        <v>#REF!</v>
      </c>
      <c r="K52" s="99">
        <f t="shared" si="6"/>
        <v>0.3010186124693805</v>
      </c>
      <c r="L52" s="22">
        <f t="shared" si="12"/>
        <v>0.19354755205629232</v>
      </c>
      <c r="M52" s="22">
        <f t="shared" si="7"/>
        <v>22.439723840817194</v>
      </c>
      <c r="N52" s="22" t="e">
        <f>VLOOKUP(M52,'2-SNR-Chan Cap vs Range'!$V$9:$Y$23,5)</f>
        <v>#REF!</v>
      </c>
      <c r="O52" s="22" t="e">
        <f>SUM(N$47:N52)/$A52</f>
        <v>#REF!</v>
      </c>
      <c r="P52" s="99">
        <f t="shared" si="8"/>
        <v>0.30108372390631799</v>
      </c>
    </row>
    <row r="53" spans="1:16">
      <c r="A53">
        <f t="shared" si="9"/>
        <v>7</v>
      </c>
      <c r="B53" s="22">
        <f t="shared" si="10"/>
        <v>0.19381870577623977</v>
      </c>
      <c r="C53" s="22">
        <f t="shared" si="3"/>
        <v>20.313016278909984</v>
      </c>
      <c r="D53" s="22" t="e">
        <f>VLOOKUP(C53,'2-SNR-Chan Cap vs Range'!$V$9:$Y$23,5)</f>
        <v>#REF!</v>
      </c>
      <c r="E53" s="22" t="e">
        <f>SUM(D$47:D53)/$A53</f>
        <v>#REF!</v>
      </c>
      <c r="F53" s="99">
        <f t="shared" si="4"/>
        <v>0.34639071771278102</v>
      </c>
      <c r="G53" s="22">
        <f t="shared" si="11"/>
        <v>0.20512095182305543</v>
      </c>
      <c r="H53" s="22">
        <f t="shared" si="5"/>
        <v>20.776370679734352</v>
      </c>
      <c r="I53" s="22" t="e">
        <f>VLOOKUP(H53,'2-SNR-Chan Cap vs Range'!$V$9:$Y$23,5)</f>
        <v>#REF!</v>
      </c>
      <c r="J53" s="22" t="e">
        <f>SUM(I$47:I53)/$A53</f>
        <v>#REF!</v>
      </c>
      <c r="K53" s="99">
        <f t="shared" si="6"/>
        <v>0.33780710654993945</v>
      </c>
      <c r="L53" s="22">
        <f t="shared" si="12"/>
        <v>0.20503031659931104</v>
      </c>
      <c r="M53" s="22">
        <f t="shared" si="7"/>
        <v>20.83223582848629</v>
      </c>
      <c r="N53" s="22" t="e">
        <f>VLOOKUP(M53,'2-SNR-Chan Cap vs Range'!$V$9:$Y$23,5)</f>
        <v>#REF!</v>
      </c>
      <c r="O53" s="22" t="e">
        <f>SUM(N$47:N53)/$A53</f>
        <v>#REF!</v>
      </c>
      <c r="P53" s="99">
        <f t="shared" si="8"/>
        <v>0.33786879106914336</v>
      </c>
    </row>
    <row r="54" spans="1:16">
      <c r="A54">
        <f t="shared" si="9"/>
        <v>8</v>
      </c>
      <c r="B54" s="22">
        <f t="shared" si="10"/>
        <v>0.20372443771996551</v>
      </c>
      <c r="C54" s="22">
        <f t="shared" si="3"/>
        <v>18.938945115062065</v>
      </c>
      <c r="D54" s="22" t="e">
        <f>VLOOKUP(C54,'2-SNR-Chan Cap vs Range'!$V$9:$Y$23,5)</f>
        <v>#REF!</v>
      </c>
      <c r="E54" s="22" t="e">
        <f>SUM(D$47:D54)/$A54</f>
        <v>#REF!</v>
      </c>
      <c r="F54" s="99">
        <f t="shared" si="4"/>
        <v>0.38270234450651541</v>
      </c>
      <c r="G54" s="22">
        <f t="shared" si="11"/>
        <v>0.21600160019723724</v>
      </c>
      <c r="H54" s="22">
        <f t="shared" si="5"/>
        <v>19.340359412849701</v>
      </c>
      <c r="I54" s="22" t="e">
        <f>VLOOKUP(H54,'2-SNR-Chan Cap vs Range'!$V$9:$Y$23,5)</f>
        <v>#REF!</v>
      </c>
      <c r="J54" s="22" t="e">
        <f>SUM(I$47:I54)/$A54</f>
        <v>#REF!</v>
      </c>
      <c r="K54" s="99">
        <f t="shared" si="6"/>
        <v>0.3745956006304984</v>
      </c>
      <c r="L54" s="22">
        <f t="shared" si="12"/>
        <v>0.21590323421070895</v>
      </c>
      <c r="M54" s="22">
        <f t="shared" si="7"/>
        <v>19.391038526797743</v>
      </c>
      <c r="N54" s="22" t="e">
        <f>VLOOKUP(M54,'2-SNR-Chan Cap vs Range'!$V$9:$Y$23,5)</f>
        <v>#REF!</v>
      </c>
      <c r="O54" s="22" t="e">
        <f>SUM(N$47:N54)/$A54</f>
        <v>#REF!</v>
      </c>
      <c r="P54" s="99">
        <f t="shared" si="8"/>
        <v>0.37465385823196867</v>
      </c>
    </row>
    <row r="55" spans="1:16">
      <c r="A55">
        <f>A54+1</f>
        <v>9</v>
      </c>
      <c r="B55" s="22">
        <f t="shared" si="10"/>
        <v>0.2131703598999064</v>
      </c>
      <c r="C55" s="22">
        <f t="shared" si="3"/>
        <v>17.689522853972605</v>
      </c>
      <c r="D55" s="22" t="e">
        <f>VLOOKUP(C55,'2-SNR-Chan Cap vs Range'!$V$9:$Y$23,5)</f>
        <v>#REF!</v>
      </c>
      <c r="E55" s="22" t="e">
        <f>SUM(D$47:D55)/$A55</f>
        <v>#REF!</v>
      </c>
      <c r="F55" s="99">
        <f t="shared" si="4"/>
        <v>0.41901397130024981</v>
      </c>
      <c r="G55" s="22">
        <f t="shared" si="11"/>
        <v>0.22635984117934438</v>
      </c>
      <c r="H55" s="22">
        <f t="shared" si="5"/>
        <v>18.038982664586868</v>
      </c>
      <c r="I55" s="22" t="e">
        <f>VLOOKUP(H55,'2-SNR-Chan Cap vs Range'!$V$9:$Y$23,5)</f>
        <v>#REF!</v>
      </c>
      <c r="J55" s="22" t="e">
        <f>SUM(I$47:I55)/$A55</f>
        <v>#REF!</v>
      </c>
      <c r="K55" s="99">
        <f t="shared" si="6"/>
        <v>0.4113840947110573</v>
      </c>
      <c r="L55" s="22">
        <f t="shared" si="12"/>
        <v>0.22625424274579864</v>
      </c>
      <c r="M55" s="22">
        <f t="shared" si="7"/>
        <v>18.084929840218372</v>
      </c>
      <c r="N55" s="22" t="e">
        <f>VLOOKUP(M55,'2-SNR-Chan Cap vs Range'!$V$9:$Y$23,5)</f>
        <v>#REF!</v>
      </c>
      <c r="O55" s="22" t="e">
        <f>SUM(N$47:N55)/$A55</f>
        <v>#REF!</v>
      </c>
      <c r="P55" s="99">
        <f t="shared" si="8"/>
        <v>0.4114389253947941</v>
      </c>
    </row>
    <row r="56" spans="1:16">
      <c r="A56">
        <f t="shared" si="9"/>
        <v>10</v>
      </c>
      <c r="B56" s="22">
        <f t="shared" si="10"/>
        <v>0.22221511684715586</v>
      </c>
      <c r="C56" s="22">
        <f t="shared" si="3"/>
        <v>16.544003407044372</v>
      </c>
      <c r="D56" s="22" t="e">
        <f>VLOOKUP(C56,'2-SNR-Chan Cap vs Range'!$V$9:$Y$23,5)</f>
        <v>#REF!</v>
      </c>
      <c r="E56" s="22" t="e">
        <f>SUM(D$47:D56)/$A56</f>
        <v>#REF!</v>
      </c>
      <c r="F56" s="99">
        <f t="shared" si="4"/>
        <v>0.45532559809398421</v>
      </c>
      <c r="G56" s="22">
        <f t="shared" si="11"/>
        <v>0.23626439450266074</v>
      </c>
      <c r="H56" s="22">
        <f t="shared" si="5"/>
        <v>16.849144798704767</v>
      </c>
      <c r="I56" s="22" t="e">
        <f>VLOOKUP(H56,'2-SNR-Chan Cap vs Range'!$V$9:$Y$23,5)</f>
        <v>#REF!</v>
      </c>
      <c r="J56" s="22" t="e">
        <f>SUM(I$47:I56)/$A56</f>
        <v>#REF!</v>
      </c>
      <c r="K56" s="99">
        <f t="shared" si="6"/>
        <v>0.44817258879161626</v>
      </c>
      <c r="L56" s="22">
        <f t="shared" si="12"/>
        <v>0.23615198110180086</v>
      </c>
      <c r="M56" s="22">
        <f t="shared" si="7"/>
        <v>16.890741278801077</v>
      </c>
      <c r="N56" s="22" t="e">
        <f>VLOOKUP(M56,'2-SNR-Chan Cap vs Range'!$V$9:$Y$23,5)</f>
        <v>#REF!</v>
      </c>
      <c r="O56" s="22" t="e">
        <f>SUM(N$47:N56)/$A56</f>
        <v>#REF!</v>
      </c>
      <c r="P56" s="99">
        <f t="shared" si="8"/>
        <v>0.44822399255761947</v>
      </c>
    </row>
    <row r="57" spans="1:16">
      <c r="A57">
        <f t="shared" si="9"/>
        <v>11</v>
      </c>
      <c r="B57" s="22">
        <f t="shared" si="10"/>
        <v>0.23090585521145765</v>
      </c>
      <c r="C57" s="22">
        <f t="shared" si="3"/>
        <v>15.486424474750972</v>
      </c>
      <c r="D57" s="22" t="e">
        <f>VLOOKUP(C57,'2-SNR-Chan Cap vs Range'!$V$9:$Y$23,5)</f>
        <v>#REF!</v>
      </c>
      <c r="E57" s="22" t="e">
        <f>SUM(D$47:D57)/$A57</f>
        <v>#REF!</v>
      </c>
      <c r="F57" s="99">
        <f t="shared" si="4"/>
        <v>0.49163722488771855</v>
      </c>
      <c r="G57" s="22">
        <f t="shared" si="11"/>
        <v>0.24577011722477529</v>
      </c>
      <c r="H57" s="22">
        <f t="shared" si="5"/>
        <v>15.753226400611435</v>
      </c>
      <c r="I57" s="22" t="e">
        <f>VLOOKUP(H57,'2-SNR-Chan Cap vs Range'!$V$9:$Y$23,5)</f>
        <v>#REF!</v>
      </c>
      <c r="J57" s="22" t="e">
        <f>SUM(I$47:I57)/$A57</f>
        <v>#REF!</v>
      </c>
      <c r="K57" s="99">
        <f t="shared" si="6"/>
        <v>0.4849610828721751</v>
      </c>
      <c r="L57" s="22">
        <f t="shared" si="12"/>
        <v>0.24565124464601404</v>
      </c>
      <c r="M57" s="22">
        <f t="shared" si="7"/>
        <v>15.79079674633601</v>
      </c>
      <c r="N57" s="22" t="e">
        <f>VLOOKUP(M57,'2-SNR-Chan Cap vs Range'!$V$9:$Y$23,5)</f>
        <v>#REF!</v>
      </c>
      <c r="O57" s="22" t="e">
        <f>SUM(N$47:N57)/$A57</f>
        <v>#REF!</v>
      </c>
      <c r="P57" s="99">
        <f t="shared" si="8"/>
        <v>0.48500905972044484</v>
      </c>
    </row>
    <row r="58" spans="1:16">
      <c r="A58">
        <f t="shared" si="9"/>
        <v>12</v>
      </c>
      <c r="B58" s="22">
        <f t="shared" si="10"/>
        <v>0.23928115217558227</v>
      </c>
      <c r="C58" s="22">
        <f t="shared" si="3"/>
        <v>14.504241173286818</v>
      </c>
      <c r="D58" s="22" t="e">
        <f>VLOOKUP(C58,'2-SNR-Chan Cap vs Range'!$V$9:$Y$23,5)</f>
        <v>#REF!</v>
      </c>
      <c r="E58" s="22" t="e">
        <f>SUM(D$47:D58)/$A58</f>
        <v>#REF!</v>
      </c>
      <c r="F58" s="99">
        <f t="shared" si="4"/>
        <v>0.527948851681453</v>
      </c>
      <c r="G58" s="22">
        <f t="shared" si="11"/>
        <v>0.25492162899928811</v>
      </c>
      <c r="H58" s="22">
        <f t="shared" si="5"/>
        <v>14.73747908430343</v>
      </c>
      <c r="I58" s="22" t="e">
        <f>VLOOKUP(H58,'2-SNR-Chan Cap vs Range'!$V$9:$Y$23,5)</f>
        <v>#REF!</v>
      </c>
      <c r="J58" s="22" t="e">
        <f>SUM(I$47:I58)/$A58</f>
        <v>#REF!</v>
      </c>
      <c r="K58" s="99">
        <f t="shared" si="6"/>
        <v>0.52174957695273405</v>
      </c>
      <c r="L58" s="22">
        <f t="shared" si="12"/>
        <v>0.2547966047928551</v>
      </c>
      <c r="M58" s="22">
        <f t="shared" si="7"/>
        <v>14.771302906566902</v>
      </c>
      <c r="N58" s="22" t="e">
        <f>VLOOKUP(M58,'2-SNR-Chan Cap vs Range'!$V$9:$Y$23,5)</f>
        <v>#REF!</v>
      </c>
      <c r="O58" s="22" t="e">
        <f>SUM(N$47:N58)/$A58</f>
        <v>#REF!</v>
      </c>
      <c r="P58" s="99">
        <f t="shared" si="8"/>
        <v>0.52179412688327031</v>
      </c>
    </row>
    <row r="59" spans="1:16">
      <c r="A59">
        <f t="shared" si="9"/>
        <v>13</v>
      </c>
      <c r="B59" s="22">
        <f t="shared" si="10"/>
        <v>0.24737304946580918</v>
      </c>
      <c r="C59" s="22">
        <f>C$71+C$44*LOG10(B$71/B59)</f>
        <v>13.58741515417185</v>
      </c>
      <c r="D59" s="22" t="e">
        <f>VLOOKUP(C59,'2-SNR-Chan Cap vs Range'!$V$9:$Y$23,5)</f>
        <v>#REF!</v>
      </c>
      <c r="E59" s="22" t="e">
        <f>SUM(D$47:D59)/$A59</f>
        <v>#REF!</v>
      </c>
      <c r="F59" s="99">
        <f>B59^2/B$71^2</f>
        <v>0.56426047847518745</v>
      </c>
      <c r="G59" s="22">
        <f t="shared" si="11"/>
        <v>0.2637558024814271</v>
      </c>
      <c r="H59" s="22">
        <f>H$71+H$44*LOG10(G$71/G59)</f>
        <v>13.790968497225215</v>
      </c>
      <c r="I59" s="22" t="e">
        <f>VLOOKUP(H59,'2-SNR-Chan Cap vs Range'!$V$9:$Y$23,5)</f>
        <v>#REF!</v>
      </c>
      <c r="J59" s="22" t="e">
        <f>SUM(I$47:I59)/$A59</f>
        <v>#REF!</v>
      </c>
      <c r="K59" s="99">
        <f>G59^2/G$71^2</f>
        <v>0.55853807103329312</v>
      </c>
      <c r="L59" s="22">
        <f t="shared" si="12"/>
        <v>0.26362489569802949</v>
      </c>
      <c r="M59" s="22">
        <f>M$71+M$44*LOG10(L$71/L59)</f>
        <v>13.821289168498961</v>
      </c>
      <c r="N59" s="22" t="e">
        <f>VLOOKUP(M59,'2-SNR-Chan Cap vs Range'!$V$9:$Y$23,5)</f>
        <v>#REF!</v>
      </c>
      <c r="O59" s="22" t="e">
        <f>SUM(N$47:N59)/$A59</f>
        <v>#REF!</v>
      </c>
      <c r="P59" s="99">
        <f>L59^2/L$71^2</f>
        <v>0.55857919404609579</v>
      </c>
    </row>
    <row r="60" spans="1:16">
      <c r="A60">
        <f t="shared" si="9"/>
        <v>14</v>
      </c>
      <c r="B60" s="22">
        <f t="shared" si="10"/>
        <v>0.25520850577038606</v>
      </c>
      <c r="C60" s="22">
        <f>C$71+C$44*LOG10(B$71/B60)</f>
        <v>12.727788339690488</v>
      </c>
      <c r="D60" s="22" t="e">
        <f>VLOOKUP(C60,'2-SNR-Chan Cap vs Range'!$V$9:$Y$23,5)</f>
        <v>#REF!</v>
      </c>
      <c r="E60" s="22" t="e">
        <f>SUM(D$47:D60)/$A60</f>
        <v>#REF!</v>
      </c>
      <c r="F60" s="99">
        <f>B60^2/B$71^2</f>
        <v>0.60057210526892169</v>
      </c>
      <c r="G60" s="22">
        <f t="shared" si="11"/>
        <v>0.27230352504804722</v>
      </c>
      <c r="H60" s="22">
        <f>H$71+H$44*LOG10(G$71/G60)</f>
        <v>12.904855154812735</v>
      </c>
      <c r="I60" s="22" t="e">
        <f>VLOOKUP(H60,'2-SNR-Chan Cap vs Range'!$V$9:$Y$23,5)</f>
        <v>#REF!</v>
      </c>
      <c r="J60" s="22" t="e">
        <f>SUM(I$47:I60)/$A60</f>
        <v>#REF!</v>
      </c>
      <c r="K60" s="99">
        <f>G60^2/G$71^2</f>
        <v>0.59532656511385207</v>
      </c>
      <c r="L60" s="22">
        <f t="shared" si="12"/>
        <v>0.27216697347332108</v>
      </c>
      <c r="M60" s="22">
        <f>M$71+M$44*LOG10(L$71/L60)</f>
        <v>12.931886411481708</v>
      </c>
      <c r="N60" s="22" t="e">
        <f>VLOOKUP(M60,'2-SNR-Chan Cap vs Range'!$V$9:$Y$23,5)</f>
        <v>#REF!</v>
      </c>
      <c r="O60" s="22" t="e">
        <f>SUM(N$47:N60)/$A60</f>
        <v>#REF!</v>
      </c>
      <c r="P60" s="99">
        <f>L60^2/L$71^2</f>
        <v>0.59536426120892116</v>
      </c>
    </row>
    <row r="61" spans="1:16">
      <c r="A61">
        <f t="shared" si="9"/>
        <v>15</v>
      </c>
      <c r="B61" s="22">
        <f t="shared" si="10"/>
        <v>0.26281045875895559</v>
      </c>
      <c r="C61" s="22">
        <f>C$71+C$44*LOG10(B$71/B61)</f>
        <v>11.918640804270662</v>
      </c>
      <c r="D61" s="22" t="e">
        <f>VLOOKUP(C61,'2-SNR-Chan Cap vs Range'!$V$9:$Y$23,5)</f>
        <v>#REF!</v>
      </c>
      <c r="E61" s="22" t="e">
        <f>SUM(D$47:D61)/$A61</f>
        <v>#REF!</v>
      </c>
      <c r="F61" s="99">
        <f>B61^2/B$71^2</f>
        <v>0.63688373206265614</v>
      </c>
      <c r="G61" s="22">
        <f t="shared" si="11"/>
        <v>0.28059097662712423</v>
      </c>
      <c r="H61" s="22">
        <f>H$71+H$44*LOG10(G$71/G61)</f>
        <v>12.071891283509483</v>
      </c>
      <c r="I61" s="22" t="e">
        <f>VLOOKUP(H61,'2-SNR-Chan Cap vs Range'!$V$9:$Y$23,5)</f>
        <v>#REF!</v>
      </c>
      <c r="J61" s="22" t="e">
        <f>SUM(I$47:I61)/$A61</f>
        <v>#REF!</v>
      </c>
      <c r="K61" s="99">
        <f>G61^2/G$71^2</f>
        <v>0.63211505919441102</v>
      </c>
      <c r="L61" s="22">
        <f t="shared" si="12"/>
        <v>0.28044899227392134</v>
      </c>
      <c r="M61" s="22">
        <f>M$71+M$44*LOG10(L$71/L61)</f>
        <v>12.095822319325645</v>
      </c>
      <c r="N61" s="22" t="e">
        <f>VLOOKUP(M61,'2-SNR-Chan Cap vs Range'!$V$9:$Y$23,5)</f>
        <v>#REF!</v>
      </c>
      <c r="O61" s="22" t="e">
        <f>SUM(N$47:N61)/$A61</f>
        <v>#REF!</v>
      </c>
      <c r="P61" s="99">
        <f>L61^2/L$71^2</f>
        <v>0.63214932837174653</v>
      </c>
    </row>
    <row r="62" spans="1:16">
      <c r="A62">
        <f t="shared" si="9"/>
        <v>16</v>
      </c>
      <c r="B62" s="22">
        <f t="shared" si="10"/>
        <v>0.27019861777705712</v>
      </c>
      <c r="C62" s="22">
        <f>C$71+C$44*LOG10(B$71/B62)</f>
        <v>11.154371419783811</v>
      </c>
      <c r="D62" s="22" t="e">
        <f>VLOOKUP(C62,'2-SNR-Chan Cap vs Range'!$V$9:$Y$23,5)</f>
        <v>#REF!</v>
      </c>
      <c r="E62" s="22" t="e">
        <f>SUM(D$47:D62)/$A62</f>
        <v>#REF!</v>
      </c>
      <c r="F62" s="99">
        <f>B62^2/B$71^2</f>
        <v>0.67319535885639059</v>
      </c>
      <c r="G62" s="22">
        <f t="shared" si="11"/>
        <v>0.28864057680016902</v>
      </c>
      <c r="H62" s="22">
        <f>H$71+H$44*LOG10(G$71/G62)</f>
        <v>11.286060208406603</v>
      </c>
      <c r="I62" s="22" t="e">
        <f>VLOOKUP(H62,'2-SNR-Chan Cap vs Range'!$V$9:$Y$23,5)</f>
        <v>#REF!</v>
      </c>
      <c r="J62" s="22" t="e">
        <f>SUM(I$47:I62)/$A62</f>
        <v>#REF!</v>
      </c>
      <c r="K62" s="99">
        <f>G62^2/G$71^2</f>
        <v>0.66890355327496998</v>
      </c>
      <c r="L62" s="22">
        <f t="shared" si="12"/>
        <v>0.2884933501578304</v>
      </c>
      <c r="M62" s="22">
        <f>M$71+M$44*LOG10(L$71/L62)</f>
        <v>11.30705966595783</v>
      </c>
      <c r="N62" s="22" t="e">
        <f>VLOOKUP(M62,'2-SNR-Chan Cap vs Range'!$V$9:$Y$23,5)</f>
        <v>#REF!</v>
      </c>
      <c r="O62" s="22" t="e">
        <f>SUM(N$47:N62)/$A62</f>
        <v>#REF!</v>
      </c>
      <c r="P62" s="99">
        <f>L62^2/L$71^2</f>
        <v>0.66893439553457201</v>
      </c>
    </row>
    <row r="63" spans="1:16">
      <c r="A63">
        <f t="shared" si="9"/>
        <v>17</v>
      </c>
      <c r="B63" s="22">
        <f t="shared" si="10"/>
        <v>0.27739006626801133</v>
      </c>
      <c r="C63" s="22">
        <f>C$71+C$44*LOG10(B$71/B63)</f>
        <v>10.430262502345487</v>
      </c>
      <c r="D63" s="22" t="e">
        <f>VLOOKUP(C63,'2-SNR-Chan Cap vs Range'!$V$9:$Y$23,5)</f>
        <v>#REF!</v>
      </c>
      <c r="E63" s="22" t="e">
        <f>SUM(D$47:D63)/$A63</f>
        <v>#REF!</v>
      </c>
      <c r="F63" s="99">
        <f>B63^2/B$71^2</f>
        <v>0.70950698565012493</v>
      </c>
      <c r="G63" s="22">
        <f t="shared" si="11"/>
        <v>0.29647170014439012</v>
      </c>
      <c r="H63" s="22">
        <f>H$71+H$44*LOG10(G$71/G63)</f>
        <v>10.542312413551549</v>
      </c>
      <c r="I63" s="22" t="e">
        <f>VLOOKUP(H63,'2-SNR-Chan Cap vs Range'!$V$9:$Y$23,5)</f>
        <v>#REF!</v>
      </c>
      <c r="J63" s="22" t="e">
        <f>SUM(I$47:I63)/$A63</f>
        <v>#REF!</v>
      </c>
      <c r="K63" s="99">
        <f>G63^2/G$71^2</f>
        <v>0.70569204735552882</v>
      </c>
      <c r="L63" s="22">
        <f t="shared" si="12"/>
        <v>0.29631940352113134</v>
      </c>
      <c r="M63" s="22">
        <f>M$71+M$44*LOG10(L$71/L63)</f>
        <v>10.560531555975475</v>
      </c>
      <c r="N63" s="22" t="e">
        <f>VLOOKUP(M63,'2-SNR-Chan Cap vs Range'!$V$9:$Y$23,5)</f>
        <v>#REF!</v>
      </c>
      <c r="O63" s="22" t="e">
        <f>SUM(N$47:N63)/$A63</f>
        <v>#REF!</v>
      </c>
      <c r="P63" s="99">
        <f>L63^2/L$71^2</f>
        <v>0.70571946269739738</v>
      </c>
    </row>
    <row r="64" spans="1:16">
      <c r="A64">
        <f t="shared" si="9"/>
        <v>18</v>
      </c>
      <c r="B64" s="22">
        <f t="shared" si="10"/>
        <v>0.28439972693325716</v>
      </c>
      <c r="C64" s="22">
        <f t="shared" ref="C64:C70" si="13">C$71+C$44*LOG10(B$71/B64)</f>
        <v>9.7423032661318967</v>
      </c>
      <c r="D64" s="22" t="e">
        <f>VLOOKUP(C64,'2-SNR-Chan Cap vs Range'!$V$9:$Y$23,5)</f>
        <v>#REF!</v>
      </c>
      <c r="E64" s="22" t="e">
        <f>SUM(D$47:D64)/$A64</f>
        <v>#REF!</v>
      </c>
      <c r="F64" s="99">
        <f t="shared" ref="F64:F71" si="14">B64^2/B$71^2</f>
        <v>0.74581861244385939</v>
      </c>
      <c r="G64" s="22">
        <f t="shared" si="11"/>
        <v>0.30410122557707009</v>
      </c>
      <c r="H64" s="22">
        <f t="shared" ref="H64:H70" si="15">H$71+H$44*LOG10(G$71/G64)</f>
        <v>9.8363687520435938</v>
      </c>
      <c r="I64" s="22" t="e">
        <f>VLOOKUP(H64,'2-SNR-Chan Cap vs Range'!$V$9:$Y$23,5)</f>
        <v>#REF!</v>
      </c>
      <c r="J64" s="22" t="e">
        <f>SUM(I$47:I64)/$A64</f>
        <v>#REF!</v>
      </c>
      <c r="K64" s="99">
        <f t="shared" ref="K64:K71" si="16">G64^2/G$71^2</f>
        <v>0.74248054143608788</v>
      </c>
      <c r="L64" s="22">
        <f t="shared" si="12"/>
        <v>0.30394401576762392</v>
      </c>
      <c r="M64" s="22">
        <f t="shared" ref="M64:M70" si="17">M$71+M$44*LOG10(L$71/L64)</f>
        <v>9.8519440148497264</v>
      </c>
      <c r="N64" s="22" t="e">
        <f>VLOOKUP(M64,'2-SNR-Chan Cap vs Range'!$V$9:$Y$23,5)</f>
        <v>#REF!</v>
      </c>
      <c r="O64" s="22" t="e">
        <f>SUM(N$47:N64)/$A64</f>
        <v>#REF!</v>
      </c>
      <c r="P64" s="99">
        <f t="shared" ref="P64:P71" si="18">L64^2/L$71^2</f>
        <v>0.74250452986022286</v>
      </c>
    </row>
    <row r="65" spans="1:16">
      <c r="A65">
        <f t="shared" si="9"/>
        <v>19</v>
      </c>
      <c r="B65" s="22">
        <f t="shared" si="10"/>
        <v>0.29124072602445344</v>
      </c>
      <c r="C65" s="22">
        <f t="shared" si="13"/>
        <v>9.0870552875668658</v>
      </c>
      <c r="D65" s="22" t="e">
        <f>VLOOKUP(C65,'2-SNR-Chan Cap vs Range'!$V$9:$Y$23,5)</f>
        <v>#REF!</v>
      </c>
      <c r="E65" s="22" t="e">
        <f>SUM(D$47:D65)/$A65</f>
        <v>#REF!</v>
      </c>
      <c r="F65" s="99">
        <f t="shared" si="14"/>
        <v>0.78213023923759384</v>
      </c>
      <c r="G65" s="22">
        <f t="shared" si="11"/>
        <v>0.31154396448727256</v>
      </c>
      <c r="H65" s="22">
        <f t="shared" si="15"/>
        <v>9.1645712941832844</v>
      </c>
      <c r="I65" s="22" t="e">
        <f>VLOOKUP(H65,'2-SNR-Chan Cap vs Range'!$V$9:$Y$23,5)</f>
        <v>#REF!</v>
      </c>
      <c r="J65" s="22" t="e">
        <f>SUM(I$47:I65)/$A65</f>
        <v>#REF!</v>
      </c>
      <c r="K65" s="99">
        <f t="shared" si="16"/>
        <v>0.77926903551664672</v>
      </c>
      <c r="L65" s="22">
        <f t="shared" si="12"/>
        <v>0.31138198492973246</v>
      </c>
      <c r="M65" s="22">
        <f t="shared" si="17"/>
        <v>9.1776263613768911</v>
      </c>
      <c r="N65" s="22" t="e">
        <f>VLOOKUP(M65,'2-SNR-Chan Cap vs Range'!$V$9:$Y$23,5)</f>
        <v>#REF!</v>
      </c>
      <c r="O65" s="22" t="e">
        <f>SUM(N$47:N65)/$A65</f>
        <v>#REF!</v>
      </c>
      <c r="P65" s="99">
        <f t="shared" si="18"/>
        <v>0.77928959702304812</v>
      </c>
    </row>
    <row r="66" spans="1:16">
      <c r="A66">
        <f t="shared" si="9"/>
        <v>20</v>
      </c>
      <c r="B66" s="22">
        <f t="shared" si="10"/>
        <v>0.29792468227857566</v>
      </c>
      <c r="C66" s="22">
        <f t="shared" si="13"/>
        <v>8.4615485269052897</v>
      </c>
      <c r="D66" s="22" t="e">
        <f>VLOOKUP(C66,'2-SNR-Chan Cap vs Range'!$V$9:$Y$23,5)</f>
        <v>#REF!</v>
      </c>
      <c r="E66" s="22" t="e">
        <f>SUM(D$47:D66)/$A66</f>
        <v>#REF!</v>
      </c>
      <c r="F66" s="99">
        <f t="shared" si="14"/>
        <v>0.81844186603132818</v>
      </c>
      <c r="G66" s="22">
        <f t="shared" si="11"/>
        <v>0.31881299882441722</v>
      </c>
      <c r="H66" s="22">
        <f t="shared" si="15"/>
        <v>8.523768611975342</v>
      </c>
      <c r="I66" s="22" t="e">
        <f>VLOOKUP(H66,'2-SNR-Chan Cap vs Range'!$V$9:$Y$23,5)</f>
        <v>#REF!</v>
      </c>
      <c r="J66" s="22" t="e">
        <f>SUM(I$47:I66)/$A66</f>
        <v>#REF!</v>
      </c>
      <c r="K66" s="99">
        <f t="shared" si="16"/>
        <v>0.81605752959720579</v>
      </c>
      <c r="L66" s="22">
        <f t="shared" si="12"/>
        <v>0.31864638136437495</v>
      </c>
      <c r="M66" s="22">
        <f t="shared" si="17"/>
        <v>8.5344161222680963</v>
      </c>
      <c r="N66" s="22" t="e">
        <f>VLOOKUP(M66,'2-SNR-Chan Cap vs Range'!$V$9:$Y$23,5)</f>
        <v>#REF!</v>
      </c>
      <c r="O66" s="22" t="e">
        <f>SUM(N$47:N66)/$A66</f>
        <v>#REF!</v>
      </c>
      <c r="P66" s="99">
        <f t="shared" si="18"/>
        <v>0.8160746641858736</v>
      </c>
    </row>
    <row r="67" spans="1:16">
      <c r="A67">
        <f t="shared" si="9"/>
        <v>21</v>
      </c>
      <c r="B67" s="22">
        <f t="shared" si="10"/>
        <v>0.30446193871538324</v>
      </c>
      <c r="C67" s="22">
        <f t="shared" si="13"/>
        <v>7.8631999391908831</v>
      </c>
      <c r="D67" s="22" t="e">
        <f>VLOOKUP(C67,'2-SNR-Chan Cap vs Range'!$V$9:$Y$23,5)</f>
        <v>#REF!</v>
      </c>
      <c r="E67" s="22" t="e">
        <f>SUM(D$47:D67)/$A67</f>
        <v>#REF!</v>
      </c>
      <c r="F67" s="99">
        <f t="shared" si="14"/>
        <v>0.85475349282506274</v>
      </c>
      <c r="G67" s="22">
        <f t="shared" si="11"/>
        <v>0.32591995126163842</v>
      </c>
      <c r="H67" s="22">
        <f t="shared" si="15"/>
        <v>7.9112263787810093</v>
      </c>
      <c r="I67" s="22" t="e">
        <f>VLOOKUP(H67,'2-SNR-Chan Cap vs Range'!$V$9:$Y$23,5)</f>
        <v>#REF!</v>
      </c>
      <c r="J67" s="22" t="e">
        <f>SUM(I$47:I67)/$A67</f>
        <v>#REF!</v>
      </c>
      <c r="K67" s="99">
        <f t="shared" si="16"/>
        <v>0.85284602367776485</v>
      </c>
      <c r="L67" s="22">
        <f t="shared" si="12"/>
        <v>0.32574881761019669</v>
      </c>
      <c r="M67" s="22">
        <f t="shared" si="17"/>
        <v>7.9195693406782777</v>
      </c>
      <c r="N67" s="22" t="e">
        <f>VLOOKUP(M67,'2-SNR-Chan Cap vs Range'!$V$9:$Y$23,5)</f>
        <v>#REF!</v>
      </c>
      <c r="O67" s="22" t="e">
        <f>SUM(N$47:N67)/$A67</f>
        <v>#REF!</v>
      </c>
      <c r="P67" s="99">
        <f t="shared" si="18"/>
        <v>0.85285973134869886</v>
      </c>
    </row>
    <row r="68" spans="1:16">
      <c r="A68">
        <f t="shared" si="9"/>
        <v>22</v>
      </c>
      <c r="B68" s="22">
        <f t="shared" si="10"/>
        <v>0.31086175052886339</v>
      </c>
      <c r="C68" s="22">
        <f t="shared" si="13"/>
        <v>7.2897490299358845</v>
      </c>
      <c r="D68" s="22" t="e">
        <f>VLOOKUP(C68,'2-SNR-Chan Cap vs Range'!$V$9:$Y$23,5)</f>
        <v>#REF!</v>
      </c>
      <c r="E68" s="22" t="e">
        <f>SUM(D$47:D68)/$A68</f>
        <v>#REF!</v>
      </c>
      <c r="F68" s="99">
        <f t="shared" si="14"/>
        <v>0.8910651196187972</v>
      </c>
      <c r="G68" s="22">
        <f t="shared" si="11"/>
        <v>0.33287520340415816</v>
      </c>
      <c r="H68" s="22">
        <f t="shared" si="15"/>
        <v>7.3245568627510158</v>
      </c>
      <c r="I68" s="22" t="e">
        <f>VLOOKUP(H68,'2-SNR-Chan Cap vs Range'!$V$9:$Y$23,5)</f>
        <v>#REF!</v>
      </c>
      <c r="J68" s="22" t="e">
        <f>SUM(I$47:I68)/$A68</f>
        <v>#REF!</v>
      </c>
      <c r="K68" s="99">
        <f t="shared" si="16"/>
        <v>0.88963451775832381</v>
      </c>
      <c r="L68" s="22">
        <f t="shared" si="12"/>
        <v>0.33269966635431381</v>
      </c>
      <c r="M68" s="22">
        <f t="shared" si="17"/>
        <v>7.3306898380104863</v>
      </c>
      <c r="N68" s="22" t="e">
        <f>VLOOKUP(M68,'2-SNR-Chan Cap vs Range'!$V$9:$Y$23,5)</f>
        <v>#REF!</v>
      </c>
      <c r="O68" s="22" t="e">
        <f>SUM(N$47:N68)/$A68</f>
        <v>#REF!</v>
      </c>
      <c r="P68" s="99">
        <f t="shared" si="18"/>
        <v>0.88964479851152423</v>
      </c>
    </row>
    <row r="69" spans="1:16">
      <c r="A69">
        <f t="shared" si="9"/>
        <v>23</v>
      </c>
      <c r="B69" s="22">
        <f t="shared" si="10"/>
        <v>0.31713243882865216</v>
      </c>
      <c r="C69" s="22">
        <f t="shared" si="13"/>
        <v>6.7392062908589132</v>
      </c>
      <c r="D69" s="22" t="e">
        <f>VLOOKUP(C69,'2-SNR-Chan Cap vs Range'!$V$9:$Y$23,5)</f>
        <v>#REF!</v>
      </c>
      <c r="E69" s="22" t="e">
        <f>SUM(D$47:D69)/$A69</f>
        <v>#REF!</v>
      </c>
      <c r="F69" s="99">
        <f t="shared" si="14"/>
        <v>0.92737674641253154</v>
      </c>
      <c r="G69" s="22">
        <f t="shared" si="11"/>
        <v>0.33968807375639576</v>
      </c>
      <c r="H69" s="22">
        <f t="shared" si="15"/>
        <v>6.7616627161372813</v>
      </c>
      <c r="I69" s="22" t="e">
        <f>VLOOKUP(H69,'2-SNR-Chan Cap vs Range'!$V$9:$Y$23,5)</f>
        <v>#REF!</v>
      </c>
      <c r="J69" s="22" t="e">
        <f>SUM(I$47:I69)/$A69</f>
        <v>#REF!</v>
      </c>
      <c r="K69" s="99">
        <f t="shared" si="16"/>
        <v>0.92642301183888276</v>
      </c>
      <c r="L69" s="22">
        <f t="shared" si="12"/>
        <v>0.33950823820653048</v>
      </c>
      <c r="M69" s="22">
        <f t="shared" si="17"/>
        <v>6.7656728170896763</v>
      </c>
      <c r="N69" s="22" t="e">
        <f>VLOOKUP(M69,'2-SNR-Chan Cap vs Range'!$V$9:$Y$23,5)</f>
        <v>#REF!</v>
      </c>
      <c r="O69" s="22" t="e">
        <f>SUM(N$47:N69)/$A69</f>
        <v>#REF!</v>
      </c>
      <c r="P69" s="99">
        <f t="shared" si="18"/>
        <v>0.92642986567434948</v>
      </c>
    </row>
    <row r="70" spans="1:16">
      <c r="A70">
        <f t="shared" si="9"/>
        <v>24</v>
      </c>
      <c r="B70" s="22">
        <f t="shared" si="10"/>
        <v>0.32328151752450729</v>
      </c>
      <c r="C70" s="22">
        <f t="shared" si="13"/>
        <v>6.2098115449484146</v>
      </c>
      <c r="D70" s="22" t="e">
        <f>VLOOKUP(C70,'2-SNR-Chan Cap vs Range'!$V$9:$Y$23,5)</f>
        <v>#REF!</v>
      </c>
      <c r="E70" s="22" t="e">
        <f>SUM(D$47:D70)/$A70</f>
        <v>#REF!</v>
      </c>
      <c r="F70" s="99">
        <f t="shared" si="14"/>
        <v>0.96368837320626577</v>
      </c>
      <c r="G70" s="22">
        <f t="shared" si="11"/>
        <v>0.34636696416272361</v>
      </c>
      <c r="H70" s="22">
        <f t="shared" si="15"/>
        <v>6.220691717267834</v>
      </c>
      <c r="I70" s="22" t="e">
        <f>VLOOKUP(H70,'2-SNR-Chan Cap vs Range'!$V$9:$Y$23,5)</f>
        <v>#REF!</v>
      </c>
      <c r="J70" s="22" t="e">
        <f>SUM(I$47:I70)/$A70</f>
        <v>#REF!</v>
      </c>
      <c r="K70" s="99">
        <f t="shared" si="16"/>
        <v>0.96321150591944182</v>
      </c>
      <c r="L70" s="22">
        <f t="shared" si="12"/>
        <v>0.34618292798451628</v>
      </c>
      <c r="M70" s="22">
        <f t="shared" si="17"/>
        <v>6.2226594531832937</v>
      </c>
      <c r="N70" s="22" t="e">
        <f>VLOOKUP(M70,'2-SNR-Chan Cap vs Range'!$V$9:$Y$23,5)</f>
        <v>#REF!</v>
      </c>
      <c r="O70" s="22" t="e">
        <f>SUM(N$47:N70)/$A70</f>
        <v>#REF!</v>
      </c>
      <c r="P70" s="99">
        <f t="shared" si="18"/>
        <v>0.96321493283717496</v>
      </c>
    </row>
    <row r="71" spans="1:16">
      <c r="A71">
        <f t="shared" si="9"/>
        <v>25</v>
      </c>
      <c r="B71" s="193">
        <f>G12</f>
        <v>0.32931579887470902</v>
      </c>
      <c r="C71" s="22">
        <f>B5</f>
        <v>5.7</v>
      </c>
      <c r="D71" s="22" t="e">
        <f>VLOOKUP(C71,'2-SNR-Chan Cap vs Range'!$V$9:$Y$23,5)</f>
        <v>#REF!</v>
      </c>
      <c r="E71" s="22" t="e">
        <f>SUM(D$47:D71)/$A71</f>
        <v>#REF!</v>
      </c>
      <c r="F71" s="99">
        <f t="shared" si="14"/>
        <v>1</v>
      </c>
      <c r="G71" s="193">
        <f>H12</f>
        <v>0.35291948129038198</v>
      </c>
      <c r="H71" s="22">
        <f>C71</f>
        <v>5.7</v>
      </c>
      <c r="I71" s="22" t="e">
        <f>VLOOKUP(H71,'2-SNR-Chan Cap vs Range'!$V$9:$Y$23,5)</f>
        <v>#REF!</v>
      </c>
      <c r="J71" s="22" t="e">
        <f>SUM(I$47:I71)/$A71</f>
        <v>#REF!</v>
      </c>
      <c r="K71" s="99">
        <f t="shared" si="16"/>
        <v>1</v>
      </c>
      <c r="L71" s="193">
        <f>I12</f>
        <v>0.35273133607005103</v>
      </c>
      <c r="M71" s="22">
        <f>H71</f>
        <v>5.7</v>
      </c>
      <c r="N71" s="22" t="e">
        <f>VLOOKUP(M71,'2-SNR-Chan Cap vs Range'!$V$9:$Y$23,5)</f>
        <v>#REF!</v>
      </c>
      <c r="O71" s="22" t="e">
        <f>SUM(N$47:N71)/$A71</f>
        <v>#REF!</v>
      </c>
      <c r="P71" s="99">
        <f t="shared" si="18"/>
        <v>1</v>
      </c>
    </row>
    <row r="72" spans="1:16">
      <c r="B72" s="130"/>
      <c r="C72" s="12"/>
      <c r="D72" s="12"/>
      <c r="E72" s="131"/>
      <c r="F72" s="132"/>
      <c r="G72" s="130"/>
      <c r="H72" s="12"/>
      <c r="I72" s="12"/>
      <c r="J72" s="131"/>
      <c r="K72" s="132"/>
      <c r="L72" s="130"/>
      <c r="M72" s="12"/>
      <c r="N72" s="12"/>
      <c r="O72" s="12"/>
      <c r="P72" s="132"/>
    </row>
    <row r="74" spans="1:16" ht="30">
      <c r="A74" s="118" t="s">
        <v>30</v>
      </c>
      <c r="B74" s="3" t="s">
        <v>60</v>
      </c>
      <c r="C74" s="133" t="str">
        <f>B39</f>
        <v>n/a</v>
      </c>
      <c r="D74" s="128" t="s">
        <v>114</v>
      </c>
      <c r="E74" s="134"/>
      <c r="F74" s="134"/>
      <c r="G74" s="3" t="s">
        <v>59</v>
      </c>
      <c r="H74" s="133" t="str">
        <f>C39</f>
        <v>n/a</v>
      </c>
      <c r="I74" s="128" t="s">
        <v>114</v>
      </c>
      <c r="J74" s="134"/>
      <c r="K74" s="134"/>
      <c r="L74" s="63" t="s">
        <v>36</v>
      </c>
      <c r="M74" s="133" t="str">
        <f>D39</f>
        <v>n/a</v>
      </c>
      <c r="N74" s="128" t="s">
        <v>114</v>
      </c>
      <c r="O74" s="134"/>
      <c r="P74" s="135"/>
    </row>
    <row r="75" spans="1:16" ht="45">
      <c r="B75" s="3" t="s">
        <v>95</v>
      </c>
      <c r="C75" s="3" t="s">
        <v>96</v>
      </c>
      <c r="D75" s="3" t="s">
        <v>6</v>
      </c>
      <c r="E75" s="125" t="s">
        <v>113</v>
      </c>
      <c r="F75" s="3" t="s">
        <v>97</v>
      </c>
      <c r="G75" s="3" t="s">
        <v>95</v>
      </c>
      <c r="H75" s="3" t="s">
        <v>96</v>
      </c>
      <c r="I75" s="3" t="s">
        <v>6</v>
      </c>
      <c r="J75" s="125" t="s">
        <v>113</v>
      </c>
      <c r="K75" s="3" t="s">
        <v>97</v>
      </c>
      <c r="L75" s="3" t="s">
        <v>95</v>
      </c>
      <c r="M75" s="3" t="s">
        <v>96</v>
      </c>
      <c r="N75" s="3" t="s">
        <v>6</v>
      </c>
      <c r="O75" s="125" t="s">
        <v>113</v>
      </c>
      <c r="P75" s="3" t="s">
        <v>97</v>
      </c>
    </row>
    <row r="76" spans="1:16">
      <c r="A76">
        <v>0</v>
      </c>
      <c r="B76" s="23">
        <v>0.05</v>
      </c>
      <c r="C76" s="22" t="e">
        <f>C$101+C$74*LOG10(B$101/B76)</f>
        <v>#VALUE!</v>
      </c>
      <c r="D76" s="22" t="e">
        <f>VLOOKUP(C76,'2-SNR-Chan Cap vs Range'!$V$9:$Y$23,5)</f>
        <v>#VALUE!</v>
      </c>
      <c r="E76" s="241" t="e">
        <f>D76</f>
        <v>#VALUE!</v>
      </c>
      <c r="F76" s="99" t="e">
        <f>B76^2/B$101^2</f>
        <v>#VALUE!</v>
      </c>
      <c r="G76" s="129">
        <f>B76</f>
        <v>0.05</v>
      </c>
      <c r="H76" s="22" t="e">
        <f>H$101+H$74*LOG10(G$101/G76)</f>
        <v>#VALUE!</v>
      </c>
      <c r="I76" s="22" t="e">
        <f>VLOOKUP(H76,'2-SNR-Chan Cap vs Range'!$V$9:$Y$23,5)</f>
        <v>#VALUE!</v>
      </c>
      <c r="J76" s="241" t="e">
        <f>I76</f>
        <v>#VALUE!</v>
      </c>
      <c r="K76" s="99" t="e">
        <f>G76^2/G$101^2</f>
        <v>#VALUE!</v>
      </c>
      <c r="L76" s="129">
        <f>G76</f>
        <v>0.05</v>
      </c>
      <c r="M76" s="22" t="e">
        <f>M$101+M$74*LOG10(L$101/L76)</f>
        <v>#VALUE!</v>
      </c>
      <c r="N76" s="22" t="e">
        <f>VLOOKUP(M76,'2-SNR-Chan Cap vs Range'!$V$9:$Y$23,5)</f>
        <v>#VALUE!</v>
      </c>
      <c r="O76" s="241" t="e">
        <f>N76</f>
        <v>#VALUE!</v>
      </c>
      <c r="P76" s="99" t="e">
        <f>L76^2/L$101^2</f>
        <v>#VALUE!</v>
      </c>
    </row>
    <row r="77" spans="1:16">
      <c r="A77">
        <f>A76+1</f>
        <v>1</v>
      </c>
      <c r="B77" s="22" t="e">
        <f>(B76^2+(B$101^2-B$76^2)/25)^0.5</f>
        <v>#VALUE!</v>
      </c>
      <c r="C77" s="22" t="e">
        <f t="shared" ref="C77:C100" si="19">C$101+C$74*LOG10(B$101/B77)</f>
        <v>#VALUE!</v>
      </c>
      <c r="D77" s="22" t="e">
        <f>VLOOKUP(C77,'2-SNR-Chan Cap vs Range'!$V$9:$Y$23,5)</f>
        <v>#VALUE!</v>
      </c>
      <c r="E77" s="22" t="e">
        <f>SUM(D$77:D77)/$A77</f>
        <v>#VALUE!</v>
      </c>
      <c r="F77" s="99" t="e">
        <f t="shared" ref="F77:F101" si="20">B77^2/B$101^2</f>
        <v>#VALUE!</v>
      </c>
      <c r="G77" s="22" t="e">
        <f>(G76^2+(G$101^2-G$76^2)/25)^0.5</f>
        <v>#VALUE!</v>
      </c>
      <c r="H77" s="22" t="e">
        <f t="shared" ref="H77:H100" si="21">H$101+H$74*LOG10(G$101/G77)</f>
        <v>#VALUE!</v>
      </c>
      <c r="I77" s="22" t="e">
        <f>VLOOKUP(H77,'2-SNR-Chan Cap vs Range'!$V$9:$Y$23,5)</f>
        <v>#VALUE!</v>
      </c>
      <c r="J77" s="22" t="e">
        <f>SUM(I$77:I77)/$A77</f>
        <v>#VALUE!</v>
      </c>
      <c r="K77" s="99" t="e">
        <f t="shared" ref="K77:K101" si="22">G77^2/G$101^2</f>
        <v>#VALUE!</v>
      </c>
      <c r="L77" s="22" t="e">
        <f>(L76^2+(L$101^2-L$76^2)/25)^0.5</f>
        <v>#VALUE!</v>
      </c>
      <c r="M77" s="22" t="e">
        <f t="shared" ref="M77:M100" si="23">M$101+M$74*LOG10(L$101/L77)</f>
        <v>#VALUE!</v>
      </c>
      <c r="N77" s="22" t="e">
        <f>VLOOKUP(M77,'2-SNR-Chan Cap vs Range'!$V$9:$Y$23,5)</f>
        <v>#VALUE!</v>
      </c>
      <c r="O77" s="22" t="e">
        <f>SUM(N$77:N77)/$A77</f>
        <v>#VALUE!</v>
      </c>
      <c r="P77" s="99" t="e">
        <f t="shared" ref="P77:P101" si="24">L77^2/L$101^2</f>
        <v>#VALUE!</v>
      </c>
    </row>
    <row r="78" spans="1:16">
      <c r="A78">
        <f t="shared" ref="A78:A101" si="25">A77+1</f>
        <v>2</v>
      </c>
      <c r="B78" s="22" t="e">
        <f t="shared" ref="B78:B100" si="26">(B77^2+(B$101^2-B$76^2)/25)^0.5</f>
        <v>#VALUE!</v>
      </c>
      <c r="C78" s="22" t="e">
        <f t="shared" si="19"/>
        <v>#VALUE!</v>
      </c>
      <c r="D78" s="22" t="e">
        <f>VLOOKUP(C78,'2-SNR-Chan Cap vs Range'!$V$9:$Y$23,5)</f>
        <v>#VALUE!</v>
      </c>
      <c r="E78" s="22" t="e">
        <f>SUM(D$77:D78)/$A78</f>
        <v>#VALUE!</v>
      </c>
      <c r="F78" s="99" t="e">
        <f t="shared" si="20"/>
        <v>#VALUE!</v>
      </c>
      <c r="G78" s="22" t="e">
        <f t="shared" ref="G78:G100" si="27">(G77^2+(G$101^2-G$76^2)/25)^0.5</f>
        <v>#VALUE!</v>
      </c>
      <c r="H78" s="22" t="e">
        <f t="shared" si="21"/>
        <v>#VALUE!</v>
      </c>
      <c r="I78" s="22" t="e">
        <f>VLOOKUP(H78,'2-SNR-Chan Cap vs Range'!$V$9:$Y$23,5)</f>
        <v>#VALUE!</v>
      </c>
      <c r="J78" s="22" t="e">
        <f>SUM(I$77:I78)/$A78</f>
        <v>#VALUE!</v>
      </c>
      <c r="K78" s="99" t="e">
        <f t="shared" si="22"/>
        <v>#VALUE!</v>
      </c>
      <c r="L78" s="22" t="e">
        <f t="shared" ref="L78:L100" si="28">(L77^2+(L$101^2-L$76^2)/25)^0.5</f>
        <v>#VALUE!</v>
      </c>
      <c r="M78" s="22" t="e">
        <f t="shared" si="23"/>
        <v>#VALUE!</v>
      </c>
      <c r="N78" s="22" t="e">
        <f>VLOOKUP(M78,'2-SNR-Chan Cap vs Range'!$V$9:$Y$23,5)</f>
        <v>#VALUE!</v>
      </c>
      <c r="O78" s="22" t="e">
        <f>SUM(N$77:N78)/$A78</f>
        <v>#VALUE!</v>
      </c>
      <c r="P78" s="99" t="e">
        <f t="shared" si="24"/>
        <v>#VALUE!</v>
      </c>
    </row>
    <row r="79" spans="1:16">
      <c r="A79">
        <f t="shared" si="25"/>
        <v>3</v>
      </c>
      <c r="B79" s="22" t="e">
        <f t="shared" si="26"/>
        <v>#VALUE!</v>
      </c>
      <c r="C79" s="22" t="e">
        <f t="shared" si="19"/>
        <v>#VALUE!</v>
      </c>
      <c r="D79" s="22" t="e">
        <f>VLOOKUP(C79,'2-SNR-Chan Cap vs Range'!$V$9:$Y$23,5)</f>
        <v>#VALUE!</v>
      </c>
      <c r="E79" s="22" t="e">
        <f>SUM(D$77:D79)/$A79</f>
        <v>#VALUE!</v>
      </c>
      <c r="F79" s="99" t="e">
        <f t="shared" si="20"/>
        <v>#VALUE!</v>
      </c>
      <c r="G79" s="22" t="e">
        <f t="shared" si="27"/>
        <v>#VALUE!</v>
      </c>
      <c r="H79" s="22" t="e">
        <f t="shared" si="21"/>
        <v>#VALUE!</v>
      </c>
      <c r="I79" s="22" t="e">
        <f>VLOOKUP(H79,'2-SNR-Chan Cap vs Range'!$V$9:$Y$23,5)</f>
        <v>#VALUE!</v>
      </c>
      <c r="J79" s="22" t="e">
        <f>SUM(I$77:I79)/$A79</f>
        <v>#VALUE!</v>
      </c>
      <c r="K79" s="99" t="e">
        <f t="shared" si="22"/>
        <v>#VALUE!</v>
      </c>
      <c r="L79" s="22" t="e">
        <f t="shared" si="28"/>
        <v>#VALUE!</v>
      </c>
      <c r="M79" s="22" t="e">
        <f t="shared" si="23"/>
        <v>#VALUE!</v>
      </c>
      <c r="N79" s="22" t="e">
        <f>VLOOKUP(M79,'2-SNR-Chan Cap vs Range'!$V$9:$Y$23,5)</f>
        <v>#VALUE!</v>
      </c>
      <c r="O79" s="22" t="e">
        <f>SUM(N$77:N79)/$A79</f>
        <v>#VALUE!</v>
      </c>
      <c r="P79" s="99" t="e">
        <f t="shared" si="24"/>
        <v>#VALUE!</v>
      </c>
    </row>
    <row r="80" spans="1:16">
      <c r="A80">
        <f t="shared" si="25"/>
        <v>4</v>
      </c>
      <c r="B80" s="22" t="e">
        <f t="shared" si="26"/>
        <v>#VALUE!</v>
      </c>
      <c r="C80" s="22" t="e">
        <f t="shared" si="19"/>
        <v>#VALUE!</v>
      </c>
      <c r="D80" s="22" t="e">
        <f>VLOOKUP(C80,'2-SNR-Chan Cap vs Range'!$V$9:$Y$23,5)</f>
        <v>#VALUE!</v>
      </c>
      <c r="E80" s="22" t="e">
        <f>SUM(D$77:D80)/$A80</f>
        <v>#VALUE!</v>
      </c>
      <c r="F80" s="99" t="e">
        <f t="shared" si="20"/>
        <v>#VALUE!</v>
      </c>
      <c r="G80" s="22" t="e">
        <f t="shared" si="27"/>
        <v>#VALUE!</v>
      </c>
      <c r="H80" s="22" t="e">
        <f t="shared" si="21"/>
        <v>#VALUE!</v>
      </c>
      <c r="I80" s="22" t="e">
        <f>VLOOKUP(H80,'2-SNR-Chan Cap vs Range'!$V$9:$Y$23,5)</f>
        <v>#VALUE!</v>
      </c>
      <c r="J80" s="22" t="e">
        <f>SUM(I$77:I80)/$A80</f>
        <v>#VALUE!</v>
      </c>
      <c r="K80" s="99" t="e">
        <f t="shared" si="22"/>
        <v>#VALUE!</v>
      </c>
      <c r="L80" s="22" t="e">
        <f t="shared" si="28"/>
        <v>#VALUE!</v>
      </c>
      <c r="M80" s="22" t="e">
        <f t="shared" si="23"/>
        <v>#VALUE!</v>
      </c>
      <c r="N80" s="22" t="e">
        <f>VLOOKUP(M80,'2-SNR-Chan Cap vs Range'!$V$9:$Y$23,5)</f>
        <v>#VALUE!</v>
      </c>
      <c r="O80" s="22" t="e">
        <f>SUM(N$77:N80)/$A80</f>
        <v>#VALUE!</v>
      </c>
      <c r="P80" s="99" t="e">
        <f t="shared" si="24"/>
        <v>#VALUE!</v>
      </c>
    </row>
    <row r="81" spans="1:16">
      <c r="A81">
        <f t="shared" si="25"/>
        <v>5</v>
      </c>
      <c r="B81" s="22" t="e">
        <f t="shared" si="26"/>
        <v>#VALUE!</v>
      </c>
      <c r="C81" s="22" t="e">
        <f t="shared" si="19"/>
        <v>#VALUE!</v>
      </c>
      <c r="D81" s="22" t="e">
        <f>VLOOKUP(C81,'2-SNR-Chan Cap vs Range'!$V$9:$Y$23,5)</f>
        <v>#VALUE!</v>
      </c>
      <c r="E81" s="22" t="e">
        <f>SUM(D$77:D81)/$A81</f>
        <v>#VALUE!</v>
      </c>
      <c r="F81" s="99" t="e">
        <f t="shared" si="20"/>
        <v>#VALUE!</v>
      </c>
      <c r="G81" s="22" t="e">
        <f t="shared" si="27"/>
        <v>#VALUE!</v>
      </c>
      <c r="H81" s="22" t="e">
        <f t="shared" si="21"/>
        <v>#VALUE!</v>
      </c>
      <c r="I81" s="22" t="e">
        <f>VLOOKUP(H81,'2-SNR-Chan Cap vs Range'!$V$9:$Y$23,5)</f>
        <v>#VALUE!</v>
      </c>
      <c r="J81" s="22" t="e">
        <f>SUM(I$77:I81)/$A81</f>
        <v>#VALUE!</v>
      </c>
      <c r="K81" s="99" t="e">
        <f t="shared" si="22"/>
        <v>#VALUE!</v>
      </c>
      <c r="L81" s="22" t="e">
        <f t="shared" si="28"/>
        <v>#VALUE!</v>
      </c>
      <c r="M81" s="22" t="e">
        <f t="shared" si="23"/>
        <v>#VALUE!</v>
      </c>
      <c r="N81" s="22" t="e">
        <f>VLOOKUP(M81,'2-SNR-Chan Cap vs Range'!$V$9:$Y$23,5)</f>
        <v>#VALUE!</v>
      </c>
      <c r="O81" s="22" t="e">
        <f>SUM(N$77:N81)/$A81</f>
        <v>#VALUE!</v>
      </c>
      <c r="P81" s="99" t="e">
        <f t="shared" si="24"/>
        <v>#VALUE!</v>
      </c>
    </row>
    <row r="82" spans="1:16">
      <c r="A82">
        <f t="shared" si="25"/>
        <v>6</v>
      </c>
      <c r="B82" s="22" t="e">
        <f t="shared" si="26"/>
        <v>#VALUE!</v>
      </c>
      <c r="C82" s="22" t="e">
        <f t="shared" si="19"/>
        <v>#VALUE!</v>
      </c>
      <c r="D82" s="22" t="e">
        <f>VLOOKUP(C82,'2-SNR-Chan Cap vs Range'!$V$9:$Y$23,5)</f>
        <v>#VALUE!</v>
      </c>
      <c r="E82" s="22" t="e">
        <f>SUM(D$77:D82)/$A82</f>
        <v>#VALUE!</v>
      </c>
      <c r="F82" s="99" t="e">
        <f t="shared" si="20"/>
        <v>#VALUE!</v>
      </c>
      <c r="G82" s="22" t="e">
        <f t="shared" si="27"/>
        <v>#VALUE!</v>
      </c>
      <c r="H82" s="22" t="e">
        <f t="shared" si="21"/>
        <v>#VALUE!</v>
      </c>
      <c r="I82" s="22" t="e">
        <f>VLOOKUP(H82,'2-SNR-Chan Cap vs Range'!$V$9:$Y$23,5)</f>
        <v>#VALUE!</v>
      </c>
      <c r="J82" s="22" t="e">
        <f>SUM(I$77:I82)/$A82</f>
        <v>#VALUE!</v>
      </c>
      <c r="K82" s="99" t="e">
        <f t="shared" si="22"/>
        <v>#VALUE!</v>
      </c>
      <c r="L82" s="22" t="e">
        <f t="shared" si="28"/>
        <v>#VALUE!</v>
      </c>
      <c r="M82" s="22" t="e">
        <f t="shared" si="23"/>
        <v>#VALUE!</v>
      </c>
      <c r="N82" s="22" t="e">
        <f>VLOOKUP(M82,'2-SNR-Chan Cap vs Range'!$V$9:$Y$23,5)</f>
        <v>#VALUE!</v>
      </c>
      <c r="O82" s="22" t="e">
        <f>SUM(N$77:N82)/$A82</f>
        <v>#VALUE!</v>
      </c>
      <c r="P82" s="99" t="e">
        <f t="shared" si="24"/>
        <v>#VALUE!</v>
      </c>
    </row>
    <row r="83" spans="1:16">
      <c r="A83">
        <f t="shared" si="25"/>
        <v>7</v>
      </c>
      <c r="B83" s="22" t="e">
        <f t="shared" si="26"/>
        <v>#VALUE!</v>
      </c>
      <c r="C83" s="22" t="e">
        <f t="shared" si="19"/>
        <v>#VALUE!</v>
      </c>
      <c r="D83" s="22" t="e">
        <f>VLOOKUP(C83,'2-SNR-Chan Cap vs Range'!$V$9:$Y$23,5)</f>
        <v>#VALUE!</v>
      </c>
      <c r="E83" s="22" t="e">
        <f>SUM(D$77:D83)/$A83</f>
        <v>#VALUE!</v>
      </c>
      <c r="F83" s="99" t="e">
        <f t="shared" si="20"/>
        <v>#VALUE!</v>
      </c>
      <c r="G83" s="22" t="e">
        <f t="shared" si="27"/>
        <v>#VALUE!</v>
      </c>
      <c r="H83" s="22" t="e">
        <f t="shared" si="21"/>
        <v>#VALUE!</v>
      </c>
      <c r="I83" s="22" t="e">
        <f>VLOOKUP(H83,'2-SNR-Chan Cap vs Range'!$V$9:$Y$23,5)</f>
        <v>#VALUE!</v>
      </c>
      <c r="J83" s="22" t="e">
        <f>SUM(I$77:I83)/$A83</f>
        <v>#VALUE!</v>
      </c>
      <c r="K83" s="99" t="e">
        <f t="shared" si="22"/>
        <v>#VALUE!</v>
      </c>
      <c r="L83" s="22" t="e">
        <f t="shared" si="28"/>
        <v>#VALUE!</v>
      </c>
      <c r="M83" s="22" t="e">
        <f t="shared" si="23"/>
        <v>#VALUE!</v>
      </c>
      <c r="N83" s="22" t="e">
        <f>VLOOKUP(M83,'2-SNR-Chan Cap vs Range'!$V$9:$Y$23,5)</f>
        <v>#VALUE!</v>
      </c>
      <c r="O83" s="22" t="e">
        <f>SUM(N$77:N83)/$A83</f>
        <v>#VALUE!</v>
      </c>
      <c r="P83" s="99" t="e">
        <f t="shared" si="24"/>
        <v>#VALUE!</v>
      </c>
    </row>
    <row r="84" spans="1:16">
      <c r="A84">
        <f t="shared" si="25"/>
        <v>8</v>
      </c>
      <c r="B84" s="22" t="e">
        <f t="shared" si="26"/>
        <v>#VALUE!</v>
      </c>
      <c r="C84" s="22" t="e">
        <f t="shared" si="19"/>
        <v>#VALUE!</v>
      </c>
      <c r="D84" s="22" t="e">
        <f>VLOOKUP(C84,'2-SNR-Chan Cap vs Range'!$V$9:$Y$23,5)</f>
        <v>#VALUE!</v>
      </c>
      <c r="E84" s="22" t="e">
        <f>SUM(D$77:D84)/$A84</f>
        <v>#VALUE!</v>
      </c>
      <c r="F84" s="99" t="e">
        <f t="shared" si="20"/>
        <v>#VALUE!</v>
      </c>
      <c r="G84" s="22" t="e">
        <f t="shared" si="27"/>
        <v>#VALUE!</v>
      </c>
      <c r="H84" s="22" t="e">
        <f t="shared" si="21"/>
        <v>#VALUE!</v>
      </c>
      <c r="I84" s="22" t="e">
        <f>VLOOKUP(H84,'2-SNR-Chan Cap vs Range'!$V$9:$Y$23,5)</f>
        <v>#VALUE!</v>
      </c>
      <c r="J84" s="22" t="e">
        <f>SUM(I$77:I84)/$A84</f>
        <v>#VALUE!</v>
      </c>
      <c r="K84" s="99" t="e">
        <f t="shared" si="22"/>
        <v>#VALUE!</v>
      </c>
      <c r="L84" s="22" t="e">
        <f t="shared" si="28"/>
        <v>#VALUE!</v>
      </c>
      <c r="M84" s="22" t="e">
        <f t="shared" si="23"/>
        <v>#VALUE!</v>
      </c>
      <c r="N84" s="22" t="e">
        <f>VLOOKUP(M84,'2-SNR-Chan Cap vs Range'!$V$9:$Y$23,5)</f>
        <v>#VALUE!</v>
      </c>
      <c r="O84" s="22" t="e">
        <f>SUM(N$77:N84)/$A84</f>
        <v>#VALUE!</v>
      </c>
      <c r="P84" s="99" t="e">
        <f t="shared" si="24"/>
        <v>#VALUE!</v>
      </c>
    </row>
    <row r="85" spans="1:16">
      <c r="A85">
        <f t="shared" si="25"/>
        <v>9</v>
      </c>
      <c r="B85" s="22" t="e">
        <f t="shared" si="26"/>
        <v>#VALUE!</v>
      </c>
      <c r="C85" s="22" t="e">
        <f t="shared" si="19"/>
        <v>#VALUE!</v>
      </c>
      <c r="D85" s="22" t="e">
        <f>VLOOKUP(C85,'2-SNR-Chan Cap vs Range'!$V$9:$Y$23,5)</f>
        <v>#VALUE!</v>
      </c>
      <c r="E85" s="22" t="e">
        <f>SUM(D$77:D85)/$A85</f>
        <v>#VALUE!</v>
      </c>
      <c r="F85" s="99" t="e">
        <f t="shared" si="20"/>
        <v>#VALUE!</v>
      </c>
      <c r="G85" s="22" t="e">
        <f t="shared" si="27"/>
        <v>#VALUE!</v>
      </c>
      <c r="H85" s="22" t="e">
        <f t="shared" si="21"/>
        <v>#VALUE!</v>
      </c>
      <c r="I85" s="22" t="e">
        <f>VLOOKUP(H85,'2-SNR-Chan Cap vs Range'!$V$9:$Y$23,5)</f>
        <v>#VALUE!</v>
      </c>
      <c r="J85" s="22" t="e">
        <f>SUM(I$77:I85)/$A85</f>
        <v>#VALUE!</v>
      </c>
      <c r="K85" s="99" t="e">
        <f t="shared" si="22"/>
        <v>#VALUE!</v>
      </c>
      <c r="L85" s="22" t="e">
        <f t="shared" si="28"/>
        <v>#VALUE!</v>
      </c>
      <c r="M85" s="22" t="e">
        <f t="shared" si="23"/>
        <v>#VALUE!</v>
      </c>
      <c r="N85" s="22" t="e">
        <f>VLOOKUP(M85,'2-SNR-Chan Cap vs Range'!$V$9:$Y$23,5)</f>
        <v>#VALUE!</v>
      </c>
      <c r="O85" s="22" t="e">
        <f>SUM(N$77:N85)/$A85</f>
        <v>#VALUE!</v>
      </c>
      <c r="P85" s="99" t="e">
        <f t="shared" si="24"/>
        <v>#VALUE!</v>
      </c>
    </row>
    <row r="86" spans="1:16">
      <c r="A86">
        <f t="shared" si="25"/>
        <v>10</v>
      </c>
      <c r="B86" s="22" t="e">
        <f t="shared" si="26"/>
        <v>#VALUE!</v>
      </c>
      <c r="C86" s="22" t="e">
        <f t="shared" si="19"/>
        <v>#VALUE!</v>
      </c>
      <c r="D86" s="22" t="e">
        <f>VLOOKUP(C86,'2-SNR-Chan Cap vs Range'!$V$9:$Y$23,5)</f>
        <v>#VALUE!</v>
      </c>
      <c r="E86" s="22" t="e">
        <f>SUM(D$77:D86)/$A86</f>
        <v>#VALUE!</v>
      </c>
      <c r="F86" s="99" t="e">
        <f t="shared" si="20"/>
        <v>#VALUE!</v>
      </c>
      <c r="G86" s="22" t="e">
        <f t="shared" si="27"/>
        <v>#VALUE!</v>
      </c>
      <c r="H86" s="22" t="e">
        <f t="shared" si="21"/>
        <v>#VALUE!</v>
      </c>
      <c r="I86" s="22" t="e">
        <f>VLOOKUP(H86,'2-SNR-Chan Cap vs Range'!$V$9:$Y$23,5)</f>
        <v>#VALUE!</v>
      </c>
      <c r="J86" s="22" t="e">
        <f>SUM(I$77:I86)/$A86</f>
        <v>#VALUE!</v>
      </c>
      <c r="K86" s="99" t="e">
        <f t="shared" si="22"/>
        <v>#VALUE!</v>
      </c>
      <c r="L86" s="22" t="e">
        <f t="shared" si="28"/>
        <v>#VALUE!</v>
      </c>
      <c r="M86" s="22" t="e">
        <f t="shared" si="23"/>
        <v>#VALUE!</v>
      </c>
      <c r="N86" s="22" t="e">
        <f>VLOOKUP(M86,'2-SNR-Chan Cap vs Range'!$V$9:$Y$23,5)</f>
        <v>#VALUE!</v>
      </c>
      <c r="O86" s="22" t="e">
        <f>SUM(N$77:N86)/$A86</f>
        <v>#VALUE!</v>
      </c>
      <c r="P86" s="99" t="e">
        <f t="shared" si="24"/>
        <v>#VALUE!</v>
      </c>
    </row>
    <row r="87" spans="1:16">
      <c r="A87">
        <f t="shared" si="25"/>
        <v>11</v>
      </c>
      <c r="B87" s="22" t="e">
        <f t="shared" si="26"/>
        <v>#VALUE!</v>
      </c>
      <c r="C87" s="22" t="e">
        <f t="shared" si="19"/>
        <v>#VALUE!</v>
      </c>
      <c r="D87" s="22" t="e">
        <f>VLOOKUP(C87,'2-SNR-Chan Cap vs Range'!$V$9:$Y$23,5)</f>
        <v>#VALUE!</v>
      </c>
      <c r="E87" s="22" t="e">
        <f>SUM(D$77:D87)/$A87</f>
        <v>#VALUE!</v>
      </c>
      <c r="F87" s="99" t="e">
        <f t="shared" si="20"/>
        <v>#VALUE!</v>
      </c>
      <c r="G87" s="22" t="e">
        <f t="shared" si="27"/>
        <v>#VALUE!</v>
      </c>
      <c r="H87" s="22" t="e">
        <f t="shared" si="21"/>
        <v>#VALUE!</v>
      </c>
      <c r="I87" s="22" t="e">
        <f>VLOOKUP(H87,'2-SNR-Chan Cap vs Range'!$V$9:$Y$23,5)</f>
        <v>#VALUE!</v>
      </c>
      <c r="J87" s="22" t="e">
        <f>SUM(I$77:I87)/$A87</f>
        <v>#VALUE!</v>
      </c>
      <c r="K87" s="99" t="e">
        <f t="shared" si="22"/>
        <v>#VALUE!</v>
      </c>
      <c r="L87" s="22" t="e">
        <f t="shared" si="28"/>
        <v>#VALUE!</v>
      </c>
      <c r="M87" s="22" t="e">
        <f t="shared" si="23"/>
        <v>#VALUE!</v>
      </c>
      <c r="N87" s="22" t="e">
        <f>VLOOKUP(M87,'2-SNR-Chan Cap vs Range'!$V$9:$Y$23,5)</f>
        <v>#VALUE!</v>
      </c>
      <c r="O87" s="22" t="e">
        <f>SUM(N$77:N87)/$A87</f>
        <v>#VALUE!</v>
      </c>
      <c r="P87" s="99" t="e">
        <f t="shared" si="24"/>
        <v>#VALUE!</v>
      </c>
    </row>
    <row r="88" spans="1:16">
      <c r="A88">
        <f t="shared" si="25"/>
        <v>12</v>
      </c>
      <c r="B88" s="22" t="e">
        <f t="shared" si="26"/>
        <v>#VALUE!</v>
      </c>
      <c r="C88" s="22" t="e">
        <f t="shared" si="19"/>
        <v>#VALUE!</v>
      </c>
      <c r="D88" s="22" t="e">
        <f>VLOOKUP(C88,'2-SNR-Chan Cap vs Range'!$V$9:$Y$23,5)</f>
        <v>#VALUE!</v>
      </c>
      <c r="E88" s="22" t="e">
        <f>SUM(D$77:D88)/$A88</f>
        <v>#VALUE!</v>
      </c>
      <c r="F88" s="99" t="e">
        <f t="shared" si="20"/>
        <v>#VALUE!</v>
      </c>
      <c r="G88" s="22" t="e">
        <f t="shared" si="27"/>
        <v>#VALUE!</v>
      </c>
      <c r="H88" s="22" t="e">
        <f t="shared" si="21"/>
        <v>#VALUE!</v>
      </c>
      <c r="I88" s="22" t="e">
        <f>VLOOKUP(H88,'2-SNR-Chan Cap vs Range'!$V$9:$Y$23,5)</f>
        <v>#VALUE!</v>
      </c>
      <c r="J88" s="22" t="e">
        <f>SUM(I$77:I88)/$A88</f>
        <v>#VALUE!</v>
      </c>
      <c r="K88" s="99" t="e">
        <f t="shared" si="22"/>
        <v>#VALUE!</v>
      </c>
      <c r="L88" s="22" t="e">
        <f t="shared" si="28"/>
        <v>#VALUE!</v>
      </c>
      <c r="M88" s="22" t="e">
        <f t="shared" si="23"/>
        <v>#VALUE!</v>
      </c>
      <c r="N88" s="22" t="e">
        <f>VLOOKUP(M88,'2-SNR-Chan Cap vs Range'!$V$9:$Y$23,5)</f>
        <v>#VALUE!</v>
      </c>
      <c r="O88" s="22" t="e">
        <f>SUM(N$77:N88)/$A88</f>
        <v>#VALUE!</v>
      </c>
      <c r="P88" s="99" t="e">
        <f t="shared" si="24"/>
        <v>#VALUE!</v>
      </c>
    </row>
    <row r="89" spans="1:16">
      <c r="A89">
        <f t="shared" si="25"/>
        <v>13</v>
      </c>
      <c r="B89" s="22" t="e">
        <f t="shared" si="26"/>
        <v>#VALUE!</v>
      </c>
      <c r="C89" s="22" t="e">
        <f t="shared" si="19"/>
        <v>#VALUE!</v>
      </c>
      <c r="D89" s="22" t="e">
        <f>VLOOKUP(C89,'2-SNR-Chan Cap vs Range'!$V$9:$Y$23,5)</f>
        <v>#VALUE!</v>
      </c>
      <c r="E89" s="22" t="e">
        <f>SUM(D$77:D89)/$A89</f>
        <v>#VALUE!</v>
      </c>
      <c r="F89" s="99" t="e">
        <f t="shared" si="20"/>
        <v>#VALUE!</v>
      </c>
      <c r="G89" s="22" t="e">
        <f t="shared" si="27"/>
        <v>#VALUE!</v>
      </c>
      <c r="H89" s="22" t="e">
        <f t="shared" si="21"/>
        <v>#VALUE!</v>
      </c>
      <c r="I89" s="22" t="e">
        <f>VLOOKUP(H89,'2-SNR-Chan Cap vs Range'!$V$9:$Y$23,5)</f>
        <v>#VALUE!</v>
      </c>
      <c r="J89" s="22" t="e">
        <f>SUM(I$77:I89)/$A89</f>
        <v>#VALUE!</v>
      </c>
      <c r="K89" s="99" t="e">
        <f t="shared" si="22"/>
        <v>#VALUE!</v>
      </c>
      <c r="L89" s="22" t="e">
        <f t="shared" si="28"/>
        <v>#VALUE!</v>
      </c>
      <c r="M89" s="22" t="e">
        <f t="shared" si="23"/>
        <v>#VALUE!</v>
      </c>
      <c r="N89" s="22" t="e">
        <f>VLOOKUP(M89,'2-SNR-Chan Cap vs Range'!$V$9:$Y$23,5)</f>
        <v>#VALUE!</v>
      </c>
      <c r="O89" s="22" t="e">
        <f>SUM(N$77:N89)/$A89</f>
        <v>#VALUE!</v>
      </c>
      <c r="P89" s="99" t="e">
        <f t="shared" si="24"/>
        <v>#VALUE!</v>
      </c>
    </row>
    <row r="90" spans="1:16">
      <c r="A90">
        <f t="shared" si="25"/>
        <v>14</v>
      </c>
      <c r="B90" s="22" t="e">
        <f t="shared" si="26"/>
        <v>#VALUE!</v>
      </c>
      <c r="C90" s="22" t="e">
        <f t="shared" si="19"/>
        <v>#VALUE!</v>
      </c>
      <c r="D90" s="22" t="e">
        <f>VLOOKUP(C90,'2-SNR-Chan Cap vs Range'!$V$9:$Y$23,5)</f>
        <v>#VALUE!</v>
      </c>
      <c r="E90" s="22" t="e">
        <f>SUM(D$77:D90)/$A90</f>
        <v>#VALUE!</v>
      </c>
      <c r="F90" s="99" t="e">
        <f t="shared" si="20"/>
        <v>#VALUE!</v>
      </c>
      <c r="G90" s="22" t="e">
        <f t="shared" si="27"/>
        <v>#VALUE!</v>
      </c>
      <c r="H90" s="22" t="e">
        <f t="shared" si="21"/>
        <v>#VALUE!</v>
      </c>
      <c r="I90" s="22" t="e">
        <f>VLOOKUP(H90,'2-SNR-Chan Cap vs Range'!$V$9:$Y$23,5)</f>
        <v>#VALUE!</v>
      </c>
      <c r="J90" s="22" t="e">
        <f>SUM(I$77:I90)/$A90</f>
        <v>#VALUE!</v>
      </c>
      <c r="K90" s="99" t="e">
        <f t="shared" si="22"/>
        <v>#VALUE!</v>
      </c>
      <c r="L90" s="22" t="e">
        <f t="shared" si="28"/>
        <v>#VALUE!</v>
      </c>
      <c r="M90" s="22" t="e">
        <f t="shared" si="23"/>
        <v>#VALUE!</v>
      </c>
      <c r="N90" s="22" t="e">
        <f>VLOOKUP(M90,'2-SNR-Chan Cap vs Range'!$V$9:$Y$23,5)</f>
        <v>#VALUE!</v>
      </c>
      <c r="O90" s="22" t="e">
        <f>SUM(N$77:N90)/$A90</f>
        <v>#VALUE!</v>
      </c>
      <c r="P90" s="99" t="e">
        <f t="shared" si="24"/>
        <v>#VALUE!</v>
      </c>
    </row>
    <row r="91" spans="1:16">
      <c r="A91">
        <f t="shared" si="25"/>
        <v>15</v>
      </c>
      <c r="B91" s="22" t="e">
        <f t="shared" si="26"/>
        <v>#VALUE!</v>
      </c>
      <c r="C91" s="22" t="e">
        <f t="shared" si="19"/>
        <v>#VALUE!</v>
      </c>
      <c r="D91" s="22" t="e">
        <f>VLOOKUP(C91,'2-SNR-Chan Cap vs Range'!$V$9:$Y$23,5)</f>
        <v>#VALUE!</v>
      </c>
      <c r="E91" s="22" t="e">
        <f>SUM(D$77:D91)/$A91</f>
        <v>#VALUE!</v>
      </c>
      <c r="F91" s="99" t="e">
        <f t="shared" si="20"/>
        <v>#VALUE!</v>
      </c>
      <c r="G91" s="22" t="e">
        <f t="shared" si="27"/>
        <v>#VALUE!</v>
      </c>
      <c r="H91" s="22" t="e">
        <f t="shared" si="21"/>
        <v>#VALUE!</v>
      </c>
      <c r="I91" s="22" t="e">
        <f>VLOOKUP(H91,'2-SNR-Chan Cap vs Range'!$V$9:$Y$23,5)</f>
        <v>#VALUE!</v>
      </c>
      <c r="J91" s="22" t="e">
        <f>SUM(I$77:I91)/$A91</f>
        <v>#VALUE!</v>
      </c>
      <c r="K91" s="99" t="e">
        <f t="shared" si="22"/>
        <v>#VALUE!</v>
      </c>
      <c r="L91" s="22" t="e">
        <f t="shared" si="28"/>
        <v>#VALUE!</v>
      </c>
      <c r="M91" s="22" t="e">
        <f t="shared" si="23"/>
        <v>#VALUE!</v>
      </c>
      <c r="N91" s="22" t="e">
        <f>VLOOKUP(M91,'2-SNR-Chan Cap vs Range'!$V$9:$Y$23,5)</f>
        <v>#VALUE!</v>
      </c>
      <c r="O91" s="22" t="e">
        <f>SUM(N$77:N91)/$A91</f>
        <v>#VALUE!</v>
      </c>
      <c r="P91" s="99" t="e">
        <f t="shared" si="24"/>
        <v>#VALUE!</v>
      </c>
    </row>
    <row r="92" spans="1:16">
      <c r="A92">
        <f t="shared" si="25"/>
        <v>16</v>
      </c>
      <c r="B92" s="22" t="e">
        <f t="shared" si="26"/>
        <v>#VALUE!</v>
      </c>
      <c r="C92" s="22" t="e">
        <f t="shared" si="19"/>
        <v>#VALUE!</v>
      </c>
      <c r="D92" s="22" t="e">
        <f>VLOOKUP(C92,'2-SNR-Chan Cap vs Range'!$V$9:$Y$23,5)</f>
        <v>#VALUE!</v>
      </c>
      <c r="E92" s="22" t="e">
        <f>SUM(D$77:D92)/$A92</f>
        <v>#VALUE!</v>
      </c>
      <c r="F92" s="99" t="e">
        <f t="shared" si="20"/>
        <v>#VALUE!</v>
      </c>
      <c r="G92" s="22" t="e">
        <f t="shared" si="27"/>
        <v>#VALUE!</v>
      </c>
      <c r="H92" s="22" t="e">
        <f t="shared" si="21"/>
        <v>#VALUE!</v>
      </c>
      <c r="I92" s="22" t="e">
        <f>VLOOKUP(H92,'2-SNR-Chan Cap vs Range'!$V$9:$Y$23,5)</f>
        <v>#VALUE!</v>
      </c>
      <c r="J92" s="22" t="e">
        <f>SUM(I$77:I92)/$A92</f>
        <v>#VALUE!</v>
      </c>
      <c r="K92" s="99" t="e">
        <f t="shared" si="22"/>
        <v>#VALUE!</v>
      </c>
      <c r="L92" s="22" t="e">
        <f t="shared" si="28"/>
        <v>#VALUE!</v>
      </c>
      <c r="M92" s="22" t="e">
        <f t="shared" si="23"/>
        <v>#VALUE!</v>
      </c>
      <c r="N92" s="22" t="e">
        <f>VLOOKUP(M92,'2-SNR-Chan Cap vs Range'!$V$9:$Y$23,5)</f>
        <v>#VALUE!</v>
      </c>
      <c r="O92" s="22" t="e">
        <f>SUM(N$77:N92)/$A92</f>
        <v>#VALUE!</v>
      </c>
      <c r="P92" s="99" t="e">
        <f t="shared" si="24"/>
        <v>#VALUE!</v>
      </c>
    </row>
    <row r="93" spans="1:16">
      <c r="A93">
        <f t="shared" si="25"/>
        <v>17</v>
      </c>
      <c r="B93" s="22" t="e">
        <f t="shared" si="26"/>
        <v>#VALUE!</v>
      </c>
      <c r="C93" s="22" t="e">
        <f t="shared" si="19"/>
        <v>#VALUE!</v>
      </c>
      <c r="D93" s="22" t="e">
        <f>VLOOKUP(C93,'2-SNR-Chan Cap vs Range'!$V$9:$Y$23,5)</f>
        <v>#VALUE!</v>
      </c>
      <c r="E93" s="22" t="e">
        <f>SUM(D$77:D93)/$A93</f>
        <v>#VALUE!</v>
      </c>
      <c r="F93" s="99" t="e">
        <f t="shared" si="20"/>
        <v>#VALUE!</v>
      </c>
      <c r="G93" s="22" t="e">
        <f t="shared" si="27"/>
        <v>#VALUE!</v>
      </c>
      <c r="H93" s="22" t="e">
        <f t="shared" si="21"/>
        <v>#VALUE!</v>
      </c>
      <c r="I93" s="22" t="e">
        <f>VLOOKUP(H93,'2-SNR-Chan Cap vs Range'!$V$9:$Y$23,5)</f>
        <v>#VALUE!</v>
      </c>
      <c r="J93" s="22" t="e">
        <f>SUM(I$77:I93)/$A93</f>
        <v>#VALUE!</v>
      </c>
      <c r="K93" s="99" t="e">
        <f t="shared" si="22"/>
        <v>#VALUE!</v>
      </c>
      <c r="L93" s="22" t="e">
        <f t="shared" si="28"/>
        <v>#VALUE!</v>
      </c>
      <c r="M93" s="22" t="e">
        <f t="shared" si="23"/>
        <v>#VALUE!</v>
      </c>
      <c r="N93" s="22" t="e">
        <f>VLOOKUP(M93,'2-SNR-Chan Cap vs Range'!$V$9:$Y$23,5)</f>
        <v>#VALUE!</v>
      </c>
      <c r="O93" s="22" t="e">
        <f>SUM(N$77:N93)/$A93</f>
        <v>#VALUE!</v>
      </c>
      <c r="P93" s="99" t="e">
        <f t="shared" si="24"/>
        <v>#VALUE!</v>
      </c>
    </row>
    <row r="94" spans="1:16">
      <c r="A94">
        <f t="shared" si="25"/>
        <v>18</v>
      </c>
      <c r="B94" s="22" t="e">
        <f t="shared" si="26"/>
        <v>#VALUE!</v>
      </c>
      <c r="C94" s="22" t="e">
        <f t="shared" si="19"/>
        <v>#VALUE!</v>
      </c>
      <c r="D94" s="22" t="e">
        <f>VLOOKUP(C94,'2-SNR-Chan Cap vs Range'!$V$9:$Y$23,5)</f>
        <v>#VALUE!</v>
      </c>
      <c r="E94" s="22" t="e">
        <f>SUM(D$77:D94)/$A94</f>
        <v>#VALUE!</v>
      </c>
      <c r="F94" s="99" t="e">
        <f t="shared" si="20"/>
        <v>#VALUE!</v>
      </c>
      <c r="G94" s="22" t="e">
        <f t="shared" si="27"/>
        <v>#VALUE!</v>
      </c>
      <c r="H94" s="22" t="e">
        <f t="shared" si="21"/>
        <v>#VALUE!</v>
      </c>
      <c r="I94" s="22" t="e">
        <f>VLOOKUP(H94,'2-SNR-Chan Cap vs Range'!$V$9:$Y$23,5)</f>
        <v>#VALUE!</v>
      </c>
      <c r="J94" s="22" t="e">
        <f>SUM(I$77:I94)/$A94</f>
        <v>#VALUE!</v>
      </c>
      <c r="K94" s="99" t="e">
        <f t="shared" si="22"/>
        <v>#VALUE!</v>
      </c>
      <c r="L94" s="22" t="e">
        <f t="shared" si="28"/>
        <v>#VALUE!</v>
      </c>
      <c r="M94" s="22" t="e">
        <f t="shared" si="23"/>
        <v>#VALUE!</v>
      </c>
      <c r="N94" s="22" t="e">
        <f>VLOOKUP(M94,'2-SNR-Chan Cap vs Range'!$V$9:$Y$23,5)</f>
        <v>#VALUE!</v>
      </c>
      <c r="O94" s="22" t="e">
        <f>SUM(N$77:N94)/$A94</f>
        <v>#VALUE!</v>
      </c>
      <c r="P94" s="99" t="e">
        <f t="shared" si="24"/>
        <v>#VALUE!</v>
      </c>
    </row>
    <row r="95" spans="1:16">
      <c r="A95">
        <f t="shared" si="25"/>
        <v>19</v>
      </c>
      <c r="B95" s="22" t="e">
        <f t="shared" si="26"/>
        <v>#VALUE!</v>
      </c>
      <c r="C95" s="22" t="e">
        <f t="shared" si="19"/>
        <v>#VALUE!</v>
      </c>
      <c r="D95" s="22" t="e">
        <f>VLOOKUP(C95,'2-SNR-Chan Cap vs Range'!$V$9:$Y$23,5)</f>
        <v>#VALUE!</v>
      </c>
      <c r="E95" s="22" t="e">
        <f>SUM(D$77:D95)/$A95</f>
        <v>#VALUE!</v>
      </c>
      <c r="F95" s="99" t="e">
        <f t="shared" si="20"/>
        <v>#VALUE!</v>
      </c>
      <c r="G95" s="22" t="e">
        <f t="shared" si="27"/>
        <v>#VALUE!</v>
      </c>
      <c r="H95" s="22" t="e">
        <f t="shared" si="21"/>
        <v>#VALUE!</v>
      </c>
      <c r="I95" s="22" t="e">
        <f>VLOOKUP(H95,'2-SNR-Chan Cap vs Range'!$V$9:$Y$23,5)</f>
        <v>#VALUE!</v>
      </c>
      <c r="J95" s="22" t="e">
        <f>SUM(I$77:I95)/$A95</f>
        <v>#VALUE!</v>
      </c>
      <c r="K95" s="99" t="e">
        <f t="shared" si="22"/>
        <v>#VALUE!</v>
      </c>
      <c r="L95" s="22" t="e">
        <f t="shared" si="28"/>
        <v>#VALUE!</v>
      </c>
      <c r="M95" s="22" t="e">
        <f t="shared" si="23"/>
        <v>#VALUE!</v>
      </c>
      <c r="N95" s="22" t="e">
        <f>VLOOKUP(M95,'2-SNR-Chan Cap vs Range'!$V$9:$Y$23,5)</f>
        <v>#VALUE!</v>
      </c>
      <c r="O95" s="22" t="e">
        <f>SUM(N$77:N95)/$A95</f>
        <v>#VALUE!</v>
      </c>
      <c r="P95" s="99" t="e">
        <f t="shared" si="24"/>
        <v>#VALUE!</v>
      </c>
    </row>
    <row r="96" spans="1:16">
      <c r="A96">
        <f t="shared" si="25"/>
        <v>20</v>
      </c>
      <c r="B96" s="22" t="e">
        <f t="shared" si="26"/>
        <v>#VALUE!</v>
      </c>
      <c r="C96" s="22" t="e">
        <f t="shared" si="19"/>
        <v>#VALUE!</v>
      </c>
      <c r="D96" s="22" t="e">
        <f>VLOOKUP(C96,'2-SNR-Chan Cap vs Range'!$V$9:$Y$23,5)</f>
        <v>#VALUE!</v>
      </c>
      <c r="E96" s="22" t="e">
        <f>SUM(D$77:D96)/$A96</f>
        <v>#VALUE!</v>
      </c>
      <c r="F96" s="99" t="e">
        <f t="shared" si="20"/>
        <v>#VALUE!</v>
      </c>
      <c r="G96" s="22" t="e">
        <f t="shared" si="27"/>
        <v>#VALUE!</v>
      </c>
      <c r="H96" s="22" t="e">
        <f t="shared" si="21"/>
        <v>#VALUE!</v>
      </c>
      <c r="I96" s="22" t="e">
        <f>VLOOKUP(H96,'2-SNR-Chan Cap vs Range'!$V$9:$Y$23,5)</f>
        <v>#VALUE!</v>
      </c>
      <c r="J96" s="22" t="e">
        <f>SUM(I$77:I96)/$A96</f>
        <v>#VALUE!</v>
      </c>
      <c r="K96" s="99" t="e">
        <f t="shared" si="22"/>
        <v>#VALUE!</v>
      </c>
      <c r="L96" s="22" t="e">
        <f t="shared" si="28"/>
        <v>#VALUE!</v>
      </c>
      <c r="M96" s="22" t="e">
        <f t="shared" si="23"/>
        <v>#VALUE!</v>
      </c>
      <c r="N96" s="22" t="e">
        <f>VLOOKUP(M96,'2-SNR-Chan Cap vs Range'!$V$9:$Y$23,5)</f>
        <v>#VALUE!</v>
      </c>
      <c r="O96" s="22" t="e">
        <f>SUM(N$77:N96)/$A96</f>
        <v>#VALUE!</v>
      </c>
      <c r="P96" s="99" t="e">
        <f t="shared" si="24"/>
        <v>#VALUE!</v>
      </c>
    </row>
    <row r="97" spans="1:16">
      <c r="A97">
        <f t="shared" si="25"/>
        <v>21</v>
      </c>
      <c r="B97" s="22" t="e">
        <f t="shared" si="26"/>
        <v>#VALUE!</v>
      </c>
      <c r="C97" s="22" t="e">
        <f t="shared" si="19"/>
        <v>#VALUE!</v>
      </c>
      <c r="D97" s="22" t="e">
        <f>VLOOKUP(C97,'2-SNR-Chan Cap vs Range'!$V$9:$Y$23,5)</f>
        <v>#VALUE!</v>
      </c>
      <c r="E97" s="22" t="e">
        <f>SUM(D$77:D97)/$A97</f>
        <v>#VALUE!</v>
      </c>
      <c r="F97" s="99" t="e">
        <f t="shared" si="20"/>
        <v>#VALUE!</v>
      </c>
      <c r="G97" s="22" t="e">
        <f t="shared" si="27"/>
        <v>#VALUE!</v>
      </c>
      <c r="H97" s="22" t="e">
        <f t="shared" si="21"/>
        <v>#VALUE!</v>
      </c>
      <c r="I97" s="22" t="e">
        <f>VLOOKUP(H97,'2-SNR-Chan Cap vs Range'!$V$9:$Y$23,5)</f>
        <v>#VALUE!</v>
      </c>
      <c r="J97" s="22" t="e">
        <f>SUM(I$77:I97)/$A97</f>
        <v>#VALUE!</v>
      </c>
      <c r="K97" s="99" t="e">
        <f t="shared" si="22"/>
        <v>#VALUE!</v>
      </c>
      <c r="L97" s="22" t="e">
        <f t="shared" si="28"/>
        <v>#VALUE!</v>
      </c>
      <c r="M97" s="22" t="e">
        <f t="shared" si="23"/>
        <v>#VALUE!</v>
      </c>
      <c r="N97" s="22" t="e">
        <f>VLOOKUP(M97,'2-SNR-Chan Cap vs Range'!$V$9:$Y$23,5)</f>
        <v>#VALUE!</v>
      </c>
      <c r="O97" s="22" t="e">
        <f>SUM(N$77:N97)/$A97</f>
        <v>#VALUE!</v>
      </c>
      <c r="P97" s="99" t="e">
        <f t="shared" si="24"/>
        <v>#VALUE!</v>
      </c>
    </row>
    <row r="98" spans="1:16">
      <c r="A98">
        <f t="shared" si="25"/>
        <v>22</v>
      </c>
      <c r="B98" s="22" t="e">
        <f t="shared" si="26"/>
        <v>#VALUE!</v>
      </c>
      <c r="C98" s="22" t="e">
        <f t="shared" si="19"/>
        <v>#VALUE!</v>
      </c>
      <c r="D98" s="22" t="e">
        <f>VLOOKUP(C98,'2-SNR-Chan Cap vs Range'!$V$9:$Y$23,5)</f>
        <v>#VALUE!</v>
      </c>
      <c r="E98" s="22" t="e">
        <f>SUM(D$77:D98)/$A98</f>
        <v>#VALUE!</v>
      </c>
      <c r="F98" s="99" t="e">
        <f t="shared" si="20"/>
        <v>#VALUE!</v>
      </c>
      <c r="G98" s="22" t="e">
        <f t="shared" si="27"/>
        <v>#VALUE!</v>
      </c>
      <c r="H98" s="22" t="e">
        <f t="shared" si="21"/>
        <v>#VALUE!</v>
      </c>
      <c r="I98" s="22" t="e">
        <f>VLOOKUP(H98,'2-SNR-Chan Cap vs Range'!$V$9:$Y$23,5)</f>
        <v>#VALUE!</v>
      </c>
      <c r="J98" s="22" t="e">
        <f>SUM(I$77:I98)/$A98</f>
        <v>#VALUE!</v>
      </c>
      <c r="K98" s="99" t="e">
        <f t="shared" si="22"/>
        <v>#VALUE!</v>
      </c>
      <c r="L98" s="22" t="e">
        <f t="shared" si="28"/>
        <v>#VALUE!</v>
      </c>
      <c r="M98" s="22" t="e">
        <f t="shared" si="23"/>
        <v>#VALUE!</v>
      </c>
      <c r="N98" s="22" t="e">
        <f>VLOOKUP(M98,'2-SNR-Chan Cap vs Range'!$V$9:$Y$23,5)</f>
        <v>#VALUE!</v>
      </c>
      <c r="O98" s="22" t="e">
        <f>SUM(N$77:N98)/$A98</f>
        <v>#VALUE!</v>
      </c>
      <c r="P98" s="99" t="e">
        <f t="shared" si="24"/>
        <v>#VALUE!</v>
      </c>
    </row>
    <row r="99" spans="1:16">
      <c r="A99">
        <f t="shared" si="25"/>
        <v>23</v>
      </c>
      <c r="B99" s="22" t="e">
        <f t="shared" si="26"/>
        <v>#VALUE!</v>
      </c>
      <c r="C99" s="22" t="e">
        <f t="shared" si="19"/>
        <v>#VALUE!</v>
      </c>
      <c r="D99" s="22" t="e">
        <f>VLOOKUP(C99,'2-SNR-Chan Cap vs Range'!$V$9:$Y$23,5)</f>
        <v>#VALUE!</v>
      </c>
      <c r="E99" s="22" t="e">
        <f>SUM(D$77:D99)/$A99</f>
        <v>#VALUE!</v>
      </c>
      <c r="F99" s="99" t="e">
        <f t="shared" si="20"/>
        <v>#VALUE!</v>
      </c>
      <c r="G99" s="22" t="e">
        <f t="shared" si="27"/>
        <v>#VALUE!</v>
      </c>
      <c r="H99" s="22" t="e">
        <f t="shared" si="21"/>
        <v>#VALUE!</v>
      </c>
      <c r="I99" s="22" t="e">
        <f>VLOOKUP(H99,'2-SNR-Chan Cap vs Range'!$V$9:$Y$23,5)</f>
        <v>#VALUE!</v>
      </c>
      <c r="J99" s="22" t="e">
        <f>SUM(I$77:I99)/$A99</f>
        <v>#VALUE!</v>
      </c>
      <c r="K99" s="99" t="e">
        <f t="shared" si="22"/>
        <v>#VALUE!</v>
      </c>
      <c r="L99" s="22" t="e">
        <f t="shared" si="28"/>
        <v>#VALUE!</v>
      </c>
      <c r="M99" s="22" t="e">
        <f t="shared" si="23"/>
        <v>#VALUE!</v>
      </c>
      <c r="N99" s="22" t="e">
        <f>VLOOKUP(M99,'2-SNR-Chan Cap vs Range'!$V$9:$Y$23,5)</f>
        <v>#VALUE!</v>
      </c>
      <c r="O99" s="22" t="e">
        <f>SUM(N$77:N99)/$A99</f>
        <v>#VALUE!</v>
      </c>
      <c r="P99" s="99" t="e">
        <f t="shared" si="24"/>
        <v>#VALUE!</v>
      </c>
    </row>
    <row r="100" spans="1:16">
      <c r="A100">
        <f t="shared" si="25"/>
        <v>24</v>
      </c>
      <c r="B100" s="22" t="e">
        <f t="shared" si="26"/>
        <v>#VALUE!</v>
      </c>
      <c r="C100" s="22" t="e">
        <f t="shared" si="19"/>
        <v>#VALUE!</v>
      </c>
      <c r="D100" s="22" t="e">
        <f>VLOOKUP(C100,'2-SNR-Chan Cap vs Range'!$V$9:$Y$23,5)</f>
        <v>#VALUE!</v>
      </c>
      <c r="E100" s="22" t="e">
        <f>SUM(D$77:D100)/$A100</f>
        <v>#VALUE!</v>
      </c>
      <c r="F100" s="99" t="e">
        <f t="shared" si="20"/>
        <v>#VALUE!</v>
      </c>
      <c r="G100" s="22" t="e">
        <f t="shared" si="27"/>
        <v>#VALUE!</v>
      </c>
      <c r="H100" s="22" t="e">
        <f t="shared" si="21"/>
        <v>#VALUE!</v>
      </c>
      <c r="I100" s="22" t="e">
        <f>VLOOKUP(H100,'2-SNR-Chan Cap vs Range'!$V$9:$Y$23,5)</f>
        <v>#VALUE!</v>
      </c>
      <c r="J100" s="22" t="e">
        <f>SUM(I$77:I100)/$A100</f>
        <v>#VALUE!</v>
      </c>
      <c r="K100" s="99" t="e">
        <f t="shared" si="22"/>
        <v>#VALUE!</v>
      </c>
      <c r="L100" s="22" t="e">
        <f t="shared" si="28"/>
        <v>#VALUE!</v>
      </c>
      <c r="M100" s="22" t="e">
        <f t="shared" si="23"/>
        <v>#VALUE!</v>
      </c>
      <c r="N100" s="22" t="e">
        <f>VLOOKUP(M100,'2-SNR-Chan Cap vs Range'!$V$9:$Y$23,5)</f>
        <v>#VALUE!</v>
      </c>
      <c r="O100" s="22" t="e">
        <f>SUM(N$77:N100)/$A100</f>
        <v>#VALUE!</v>
      </c>
      <c r="P100" s="99" t="e">
        <f t="shared" si="24"/>
        <v>#VALUE!</v>
      </c>
    </row>
    <row r="101" spans="1:16">
      <c r="A101">
        <f t="shared" si="25"/>
        <v>25</v>
      </c>
      <c r="B101" s="15" t="str">
        <f>B14</f>
        <v>n/a</v>
      </c>
      <c r="C101" s="22">
        <f>B5</f>
        <v>5.7</v>
      </c>
      <c r="D101" s="22" t="e">
        <f>VLOOKUP(C101,'2-SNR-Chan Cap vs Range'!$V$9:$Y$23,5)</f>
        <v>#REF!</v>
      </c>
      <c r="E101" s="22" t="e">
        <f>SUM(D$77:D101)/$A101</f>
        <v>#VALUE!</v>
      </c>
      <c r="F101" s="99" t="e">
        <f t="shared" si="20"/>
        <v>#VALUE!</v>
      </c>
      <c r="G101" s="15" t="str">
        <f>C14</f>
        <v>n/a</v>
      </c>
      <c r="H101" s="22">
        <f>B5</f>
        <v>5.7</v>
      </c>
      <c r="I101" s="22" t="e">
        <f>VLOOKUP(H101,'2-SNR-Chan Cap vs Range'!$V$9:$Y$23,5)</f>
        <v>#REF!</v>
      </c>
      <c r="J101" s="22" t="e">
        <f>SUM(I$77:I101)/$A101</f>
        <v>#VALUE!</v>
      </c>
      <c r="K101" s="99" t="e">
        <f t="shared" si="22"/>
        <v>#VALUE!</v>
      </c>
      <c r="L101" s="15" t="str">
        <f>D14</f>
        <v>n/a</v>
      </c>
      <c r="M101" s="22">
        <f>B5</f>
        <v>5.7</v>
      </c>
      <c r="N101" s="22" t="e">
        <f>VLOOKUP(M101,'2-SNR-Chan Cap vs Range'!$V$9:$Y$23,5)</f>
        <v>#REF!</v>
      </c>
      <c r="O101" s="22" t="e">
        <f>SUM(N$77:N101)/$A101</f>
        <v>#VALUE!</v>
      </c>
      <c r="P101" s="99" t="e">
        <f t="shared" si="24"/>
        <v>#VALUE!</v>
      </c>
    </row>
    <row r="102" spans="1:16">
      <c r="B102" s="12"/>
      <c r="C102" s="12"/>
      <c r="D102" s="12"/>
      <c r="E102" s="12"/>
      <c r="F102" s="132"/>
      <c r="G102" s="12"/>
      <c r="H102" s="12"/>
      <c r="I102" s="12"/>
      <c r="J102" s="12"/>
      <c r="K102" s="132"/>
      <c r="L102" s="12"/>
      <c r="M102" s="12"/>
      <c r="N102" s="12"/>
      <c r="O102" s="12"/>
      <c r="P102" s="132"/>
    </row>
    <row r="104" spans="1:16" ht="30">
      <c r="A104" s="118" t="s">
        <v>72</v>
      </c>
      <c r="B104" s="3" t="s">
        <v>60</v>
      </c>
      <c r="C104" s="133" t="str">
        <f>B40</f>
        <v>n/a</v>
      </c>
      <c r="D104" s="128" t="s">
        <v>114</v>
      </c>
      <c r="E104" s="134"/>
      <c r="F104" s="134"/>
      <c r="G104" s="3" t="s">
        <v>36</v>
      </c>
      <c r="H104" s="158" t="str">
        <f>D40</f>
        <v>n/a</v>
      </c>
      <c r="I104" s="128" t="s">
        <v>114</v>
      </c>
      <c r="J104" s="134"/>
      <c r="K104" s="135"/>
    </row>
    <row r="105" spans="1:16" ht="45">
      <c r="B105" s="3" t="s">
        <v>95</v>
      </c>
      <c r="C105" s="3" t="s">
        <v>96</v>
      </c>
      <c r="D105" s="3" t="s">
        <v>6</v>
      </c>
      <c r="E105" s="125" t="s">
        <v>113</v>
      </c>
      <c r="F105" s="3" t="s">
        <v>97</v>
      </c>
      <c r="G105" s="3" t="s">
        <v>95</v>
      </c>
      <c r="H105" s="3" t="s">
        <v>96</v>
      </c>
      <c r="I105" s="3" t="s">
        <v>6</v>
      </c>
      <c r="J105" s="125" t="s">
        <v>113</v>
      </c>
      <c r="K105" s="3" t="s">
        <v>97</v>
      </c>
    </row>
    <row r="106" spans="1:16">
      <c r="A106">
        <v>0</v>
      </c>
      <c r="B106" s="23">
        <v>0.05</v>
      </c>
      <c r="C106" s="22" t="e">
        <f>C$131+C$104*LOG10(B$131/B106)</f>
        <v>#VALUE!</v>
      </c>
      <c r="D106" s="22" t="e">
        <f>VLOOKUP(C106,'2-SNR-Chan Cap vs Range'!$V$9:$Y$23,5)</f>
        <v>#VALUE!</v>
      </c>
      <c r="E106" s="241" t="e">
        <f>D106</f>
        <v>#VALUE!</v>
      </c>
      <c r="F106" s="99" t="e">
        <f>B106^2/B$131^2</f>
        <v>#VALUE!</v>
      </c>
      <c r="G106" s="129">
        <f>B106</f>
        <v>0.05</v>
      </c>
      <c r="H106" s="22" t="e">
        <f>H$131+H$104*LOG10(G$131/G106)</f>
        <v>#VALUE!</v>
      </c>
      <c r="I106" s="22" t="e">
        <f>VLOOKUP(H106,'2-SNR-Chan Cap vs Range'!$V$9:$Y$23,5)</f>
        <v>#VALUE!</v>
      </c>
      <c r="J106" s="241" t="e">
        <f>I106</f>
        <v>#VALUE!</v>
      </c>
      <c r="K106" s="99" t="e">
        <f>G106^2/G$131^2</f>
        <v>#VALUE!</v>
      </c>
    </row>
    <row r="107" spans="1:16">
      <c r="A107">
        <f>A106+1</f>
        <v>1</v>
      </c>
      <c r="B107" s="22" t="e">
        <f>(B106^2+(B$131^2-B$106^2)/25)^0.5</f>
        <v>#VALUE!</v>
      </c>
      <c r="C107" s="22" t="e">
        <f t="shared" ref="C107:C130" si="29">C$131+C$104*LOG10(B$131/B107)</f>
        <v>#VALUE!</v>
      </c>
      <c r="D107" s="22" t="e">
        <f>VLOOKUP(C107,'2-SNR-Chan Cap vs Range'!$V$9:$Y$23,5)</f>
        <v>#VALUE!</v>
      </c>
      <c r="E107" s="22" t="e">
        <f>SUM(D$107:D107)/$A107</f>
        <v>#VALUE!</v>
      </c>
      <c r="F107" s="99" t="e">
        <f t="shared" ref="F107:F131" si="30">B107^2/B$131^2</f>
        <v>#VALUE!</v>
      </c>
      <c r="G107" s="22" t="e">
        <f>(G106^2+(G$131^2-G$106^2)/25)^0.5</f>
        <v>#VALUE!</v>
      </c>
      <c r="H107" s="22" t="e">
        <f t="shared" ref="H107:H130" si="31">H$131+H$104*LOG10(G$131/G107)</f>
        <v>#VALUE!</v>
      </c>
      <c r="I107" s="22" t="e">
        <f>VLOOKUP(H107,'2-SNR-Chan Cap vs Range'!$V$9:$Y$23,5)</f>
        <v>#VALUE!</v>
      </c>
      <c r="J107" s="22" t="e">
        <f>SUM(I$107:I107)/$A107</f>
        <v>#VALUE!</v>
      </c>
      <c r="K107" s="99" t="e">
        <f t="shared" ref="K107:K131" si="32">G107^2/G$131^2</f>
        <v>#VALUE!</v>
      </c>
    </row>
    <row r="108" spans="1:16">
      <c r="A108">
        <f t="shared" ref="A108:A131" si="33">A107+1</f>
        <v>2</v>
      </c>
      <c r="B108" s="22" t="e">
        <f t="shared" ref="B108:B130" si="34">(B107^2+(B$131^2-B$106^2)/25)^0.5</f>
        <v>#VALUE!</v>
      </c>
      <c r="C108" s="22" t="e">
        <f t="shared" si="29"/>
        <v>#VALUE!</v>
      </c>
      <c r="D108" s="22" t="e">
        <f>VLOOKUP(C108,'2-SNR-Chan Cap vs Range'!$V$9:$Y$23,5)</f>
        <v>#VALUE!</v>
      </c>
      <c r="E108" s="22" t="e">
        <f>SUM(D$107:D108)/$A108</f>
        <v>#VALUE!</v>
      </c>
      <c r="F108" s="99" t="e">
        <f t="shared" si="30"/>
        <v>#VALUE!</v>
      </c>
      <c r="G108" s="22" t="e">
        <f t="shared" ref="G108:G130" si="35">(G107^2+(G$131^2-G$106^2)/25)^0.5</f>
        <v>#VALUE!</v>
      </c>
      <c r="H108" s="22" t="e">
        <f t="shared" si="31"/>
        <v>#VALUE!</v>
      </c>
      <c r="I108" s="22" t="e">
        <f>VLOOKUP(H108,'2-SNR-Chan Cap vs Range'!$V$9:$Y$23,5)</f>
        <v>#VALUE!</v>
      </c>
      <c r="J108" s="22" t="e">
        <f>SUM(I$107:I108)/$A108</f>
        <v>#VALUE!</v>
      </c>
      <c r="K108" s="99" t="e">
        <f t="shared" si="32"/>
        <v>#VALUE!</v>
      </c>
    </row>
    <row r="109" spans="1:16">
      <c r="A109">
        <f t="shared" si="33"/>
        <v>3</v>
      </c>
      <c r="B109" s="22" t="e">
        <f t="shared" si="34"/>
        <v>#VALUE!</v>
      </c>
      <c r="C109" s="22" t="e">
        <f t="shared" si="29"/>
        <v>#VALUE!</v>
      </c>
      <c r="D109" s="22" t="e">
        <f>VLOOKUP(C109,'2-SNR-Chan Cap vs Range'!$V$9:$Y$23,5)</f>
        <v>#VALUE!</v>
      </c>
      <c r="E109" s="22" t="e">
        <f>SUM(D$107:D109)/$A109</f>
        <v>#VALUE!</v>
      </c>
      <c r="F109" s="99" t="e">
        <f t="shared" si="30"/>
        <v>#VALUE!</v>
      </c>
      <c r="G109" s="22" t="e">
        <f t="shared" si="35"/>
        <v>#VALUE!</v>
      </c>
      <c r="H109" s="22" t="e">
        <f t="shared" si="31"/>
        <v>#VALUE!</v>
      </c>
      <c r="I109" s="22" t="e">
        <f>VLOOKUP(H109,'2-SNR-Chan Cap vs Range'!$V$9:$Y$23,5)</f>
        <v>#VALUE!</v>
      </c>
      <c r="J109" s="22" t="e">
        <f>SUM(I$107:I109)/$A109</f>
        <v>#VALUE!</v>
      </c>
      <c r="K109" s="99" t="e">
        <f t="shared" si="32"/>
        <v>#VALUE!</v>
      </c>
    </row>
    <row r="110" spans="1:16">
      <c r="A110">
        <f t="shared" si="33"/>
        <v>4</v>
      </c>
      <c r="B110" s="22" t="e">
        <f t="shared" si="34"/>
        <v>#VALUE!</v>
      </c>
      <c r="C110" s="22" t="e">
        <f t="shared" si="29"/>
        <v>#VALUE!</v>
      </c>
      <c r="D110" s="22" t="e">
        <f>VLOOKUP(C110,'2-SNR-Chan Cap vs Range'!$V$9:$Y$23,5)</f>
        <v>#VALUE!</v>
      </c>
      <c r="E110" s="22" t="e">
        <f>SUM(D$107:D110)/$A110</f>
        <v>#VALUE!</v>
      </c>
      <c r="F110" s="99" t="e">
        <f t="shared" si="30"/>
        <v>#VALUE!</v>
      </c>
      <c r="G110" s="22" t="e">
        <f t="shared" si="35"/>
        <v>#VALUE!</v>
      </c>
      <c r="H110" s="22" t="e">
        <f t="shared" si="31"/>
        <v>#VALUE!</v>
      </c>
      <c r="I110" s="22" t="e">
        <f>VLOOKUP(H110,'2-SNR-Chan Cap vs Range'!$V$9:$Y$23,5)</f>
        <v>#VALUE!</v>
      </c>
      <c r="J110" s="22" t="e">
        <f>SUM(I$107:I110)/$A110</f>
        <v>#VALUE!</v>
      </c>
      <c r="K110" s="99" t="e">
        <f t="shared" si="32"/>
        <v>#VALUE!</v>
      </c>
    </row>
    <row r="111" spans="1:16">
      <c r="A111">
        <f t="shared" si="33"/>
        <v>5</v>
      </c>
      <c r="B111" s="22" t="e">
        <f t="shared" si="34"/>
        <v>#VALUE!</v>
      </c>
      <c r="C111" s="22" t="e">
        <f t="shared" si="29"/>
        <v>#VALUE!</v>
      </c>
      <c r="D111" s="22" t="e">
        <f>VLOOKUP(C111,'2-SNR-Chan Cap vs Range'!$V$9:$Y$23,5)</f>
        <v>#VALUE!</v>
      </c>
      <c r="E111" s="22" t="e">
        <f>SUM(D$107:D111)/$A111</f>
        <v>#VALUE!</v>
      </c>
      <c r="F111" s="99" t="e">
        <f t="shared" si="30"/>
        <v>#VALUE!</v>
      </c>
      <c r="G111" s="22" t="e">
        <f t="shared" si="35"/>
        <v>#VALUE!</v>
      </c>
      <c r="H111" s="22" t="e">
        <f t="shared" si="31"/>
        <v>#VALUE!</v>
      </c>
      <c r="I111" s="22" t="e">
        <f>VLOOKUP(H111,'2-SNR-Chan Cap vs Range'!$V$9:$Y$23,5)</f>
        <v>#VALUE!</v>
      </c>
      <c r="J111" s="22" t="e">
        <f>SUM(I$107:I111)/$A111</f>
        <v>#VALUE!</v>
      </c>
      <c r="K111" s="99" t="e">
        <f t="shared" si="32"/>
        <v>#VALUE!</v>
      </c>
    </row>
    <row r="112" spans="1:16">
      <c r="A112">
        <f t="shared" si="33"/>
        <v>6</v>
      </c>
      <c r="B112" s="22" t="e">
        <f t="shared" si="34"/>
        <v>#VALUE!</v>
      </c>
      <c r="C112" s="22" t="e">
        <f t="shared" si="29"/>
        <v>#VALUE!</v>
      </c>
      <c r="D112" s="22" t="e">
        <f>VLOOKUP(C112,'2-SNR-Chan Cap vs Range'!$V$9:$Y$23,5)</f>
        <v>#VALUE!</v>
      </c>
      <c r="E112" s="22" t="e">
        <f>SUM(D$107:D112)/$A112</f>
        <v>#VALUE!</v>
      </c>
      <c r="F112" s="99" t="e">
        <f t="shared" si="30"/>
        <v>#VALUE!</v>
      </c>
      <c r="G112" s="22" t="e">
        <f t="shared" si="35"/>
        <v>#VALUE!</v>
      </c>
      <c r="H112" s="22" t="e">
        <f t="shared" si="31"/>
        <v>#VALUE!</v>
      </c>
      <c r="I112" s="22" t="e">
        <f>VLOOKUP(H112,'2-SNR-Chan Cap vs Range'!$V$9:$Y$23,5)</f>
        <v>#VALUE!</v>
      </c>
      <c r="J112" s="22" t="e">
        <f>SUM(I$107:I112)/$A112</f>
        <v>#VALUE!</v>
      </c>
      <c r="K112" s="99" t="e">
        <f t="shared" si="32"/>
        <v>#VALUE!</v>
      </c>
    </row>
    <row r="113" spans="1:11">
      <c r="A113">
        <f t="shared" si="33"/>
        <v>7</v>
      </c>
      <c r="B113" s="22" t="e">
        <f t="shared" si="34"/>
        <v>#VALUE!</v>
      </c>
      <c r="C113" s="22" t="e">
        <f t="shared" si="29"/>
        <v>#VALUE!</v>
      </c>
      <c r="D113" s="22" t="e">
        <f>VLOOKUP(C113,'2-SNR-Chan Cap vs Range'!$V$9:$Y$23,5)</f>
        <v>#VALUE!</v>
      </c>
      <c r="E113" s="22" t="e">
        <f>SUM(D$107:D113)/$A113</f>
        <v>#VALUE!</v>
      </c>
      <c r="F113" s="99" t="e">
        <f t="shared" si="30"/>
        <v>#VALUE!</v>
      </c>
      <c r="G113" s="22" t="e">
        <f t="shared" si="35"/>
        <v>#VALUE!</v>
      </c>
      <c r="H113" s="22" t="e">
        <f t="shared" si="31"/>
        <v>#VALUE!</v>
      </c>
      <c r="I113" s="22" t="e">
        <f>VLOOKUP(H113,'2-SNR-Chan Cap vs Range'!$V$9:$Y$23,5)</f>
        <v>#VALUE!</v>
      </c>
      <c r="J113" s="22" t="e">
        <f>SUM(I$107:I113)/$A113</f>
        <v>#VALUE!</v>
      </c>
      <c r="K113" s="99" t="e">
        <f t="shared" si="32"/>
        <v>#VALUE!</v>
      </c>
    </row>
    <row r="114" spans="1:11">
      <c r="A114">
        <f t="shared" si="33"/>
        <v>8</v>
      </c>
      <c r="B114" s="22" t="e">
        <f t="shared" si="34"/>
        <v>#VALUE!</v>
      </c>
      <c r="C114" s="22" t="e">
        <f t="shared" si="29"/>
        <v>#VALUE!</v>
      </c>
      <c r="D114" s="22" t="e">
        <f>VLOOKUP(C114,'2-SNR-Chan Cap vs Range'!$V$9:$Y$23,5)</f>
        <v>#VALUE!</v>
      </c>
      <c r="E114" s="22" t="e">
        <f>SUM(D$107:D114)/$A114</f>
        <v>#VALUE!</v>
      </c>
      <c r="F114" s="99" t="e">
        <f t="shared" si="30"/>
        <v>#VALUE!</v>
      </c>
      <c r="G114" s="22" t="e">
        <f t="shared" si="35"/>
        <v>#VALUE!</v>
      </c>
      <c r="H114" s="22" t="e">
        <f t="shared" si="31"/>
        <v>#VALUE!</v>
      </c>
      <c r="I114" s="22" t="e">
        <f>VLOOKUP(H114,'2-SNR-Chan Cap vs Range'!$V$9:$Y$23,5)</f>
        <v>#VALUE!</v>
      </c>
      <c r="J114" s="22" t="e">
        <f>SUM(I$107:I114)/$A114</f>
        <v>#VALUE!</v>
      </c>
      <c r="K114" s="99" t="e">
        <f t="shared" si="32"/>
        <v>#VALUE!</v>
      </c>
    </row>
    <row r="115" spans="1:11">
      <c r="A115">
        <f t="shared" si="33"/>
        <v>9</v>
      </c>
      <c r="B115" s="22" t="e">
        <f t="shared" si="34"/>
        <v>#VALUE!</v>
      </c>
      <c r="C115" s="22" t="e">
        <f t="shared" si="29"/>
        <v>#VALUE!</v>
      </c>
      <c r="D115" s="22" t="e">
        <f>VLOOKUP(C115,'2-SNR-Chan Cap vs Range'!$V$9:$Y$23,5)</f>
        <v>#VALUE!</v>
      </c>
      <c r="E115" s="22" t="e">
        <f>SUM(D$107:D115)/$A115</f>
        <v>#VALUE!</v>
      </c>
      <c r="F115" s="99" t="e">
        <f t="shared" si="30"/>
        <v>#VALUE!</v>
      </c>
      <c r="G115" s="22" t="e">
        <f t="shared" si="35"/>
        <v>#VALUE!</v>
      </c>
      <c r="H115" s="22" t="e">
        <f t="shared" si="31"/>
        <v>#VALUE!</v>
      </c>
      <c r="I115" s="22" t="e">
        <f>VLOOKUP(H115,'2-SNR-Chan Cap vs Range'!$V$9:$Y$23,5)</f>
        <v>#VALUE!</v>
      </c>
      <c r="J115" s="22" t="e">
        <f>SUM(I$107:I115)/$A115</f>
        <v>#VALUE!</v>
      </c>
      <c r="K115" s="99" t="e">
        <f t="shared" si="32"/>
        <v>#VALUE!</v>
      </c>
    </row>
    <row r="116" spans="1:11">
      <c r="A116">
        <f t="shared" si="33"/>
        <v>10</v>
      </c>
      <c r="B116" s="22" t="e">
        <f t="shared" si="34"/>
        <v>#VALUE!</v>
      </c>
      <c r="C116" s="22" t="e">
        <f t="shared" si="29"/>
        <v>#VALUE!</v>
      </c>
      <c r="D116" s="22" t="e">
        <f>VLOOKUP(C116,'2-SNR-Chan Cap vs Range'!$V$9:$Y$23,5)</f>
        <v>#VALUE!</v>
      </c>
      <c r="E116" s="22" t="e">
        <f>SUM(D$107:D116)/$A116</f>
        <v>#VALUE!</v>
      </c>
      <c r="F116" s="99" t="e">
        <f t="shared" si="30"/>
        <v>#VALUE!</v>
      </c>
      <c r="G116" s="22" t="e">
        <f t="shared" si="35"/>
        <v>#VALUE!</v>
      </c>
      <c r="H116" s="22" t="e">
        <f t="shared" si="31"/>
        <v>#VALUE!</v>
      </c>
      <c r="I116" s="22" t="e">
        <f>VLOOKUP(H116,'2-SNR-Chan Cap vs Range'!$V$9:$Y$23,5)</f>
        <v>#VALUE!</v>
      </c>
      <c r="J116" s="22" t="e">
        <f>SUM(I$107:I116)/$A116</f>
        <v>#VALUE!</v>
      </c>
      <c r="K116" s="99" t="e">
        <f t="shared" si="32"/>
        <v>#VALUE!</v>
      </c>
    </row>
    <row r="117" spans="1:11">
      <c r="A117">
        <f t="shared" si="33"/>
        <v>11</v>
      </c>
      <c r="B117" s="22" t="e">
        <f t="shared" si="34"/>
        <v>#VALUE!</v>
      </c>
      <c r="C117" s="22" t="e">
        <f t="shared" si="29"/>
        <v>#VALUE!</v>
      </c>
      <c r="D117" s="22" t="e">
        <f>VLOOKUP(C117,'2-SNR-Chan Cap vs Range'!$V$9:$Y$23,5)</f>
        <v>#VALUE!</v>
      </c>
      <c r="E117" s="22" t="e">
        <f>SUM(D$107:D117)/$A117</f>
        <v>#VALUE!</v>
      </c>
      <c r="F117" s="99" t="e">
        <f t="shared" si="30"/>
        <v>#VALUE!</v>
      </c>
      <c r="G117" s="22" t="e">
        <f t="shared" si="35"/>
        <v>#VALUE!</v>
      </c>
      <c r="H117" s="22" t="e">
        <f t="shared" si="31"/>
        <v>#VALUE!</v>
      </c>
      <c r="I117" s="22" t="e">
        <f>VLOOKUP(H117,'2-SNR-Chan Cap vs Range'!$V$9:$Y$23,5)</f>
        <v>#VALUE!</v>
      </c>
      <c r="J117" s="22" t="e">
        <f>SUM(I$107:I117)/$A117</f>
        <v>#VALUE!</v>
      </c>
      <c r="K117" s="99" t="e">
        <f t="shared" si="32"/>
        <v>#VALUE!</v>
      </c>
    </row>
    <row r="118" spans="1:11">
      <c r="A118">
        <f t="shared" si="33"/>
        <v>12</v>
      </c>
      <c r="B118" s="22" t="e">
        <f t="shared" si="34"/>
        <v>#VALUE!</v>
      </c>
      <c r="C118" s="22" t="e">
        <f t="shared" si="29"/>
        <v>#VALUE!</v>
      </c>
      <c r="D118" s="22" t="e">
        <f>VLOOKUP(C118,'2-SNR-Chan Cap vs Range'!$V$9:$Y$23,5)</f>
        <v>#VALUE!</v>
      </c>
      <c r="E118" s="22" t="e">
        <f>SUM(D$107:D118)/$A118</f>
        <v>#VALUE!</v>
      </c>
      <c r="F118" s="99" t="e">
        <f t="shared" si="30"/>
        <v>#VALUE!</v>
      </c>
      <c r="G118" s="22" t="e">
        <f t="shared" si="35"/>
        <v>#VALUE!</v>
      </c>
      <c r="H118" s="22" t="e">
        <f t="shared" si="31"/>
        <v>#VALUE!</v>
      </c>
      <c r="I118" s="22" t="e">
        <f>VLOOKUP(H118,'2-SNR-Chan Cap vs Range'!$V$9:$Y$23,5)</f>
        <v>#VALUE!</v>
      </c>
      <c r="J118" s="22" t="e">
        <f>SUM(I$107:I118)/$A118</f>
        <v>#VALUE!</v>
      </c>
      <c r="K118" s="99" t="e">
        <f t="shared" si="32"/>
        <v>#VALUE!</v>
      </c>
    </row>
    <row r="119" spans="1:11">
      <c r="A119">
        <f t="shared" si="33"/>
        <v>13</v>
      </c>
      <c r="B119" s="22" t="e">
        <f t="shared" si="34"/>
        <v>#VALUE!</v>
      </c>
      <c r="C119" s="22" t="e">
        <f t="shared" si="29"/>
        <v>#VALUE!</v>
      </c>
      <c r="D119" s="22" t="e">
        <f>VLOOKUP(C119,'2-SNR-Chan Cap vs Range'!$V$9:$Y$23,5)</f>
        <v>#VALUE!</v>
      </c>
      <c r="E119" s="22" t="e">
        <f>SUM(D$107:D119)/$A119</f>
        <v>#VALUE!</v>
      </c>
      <c r="F119" s="99" t="e">
        <f t="shared" si="30"/>
        <v>#VALUE!</v>
      </c>
      <c r="G119" s="22" t="e">
        <f t="shared" si="35"/>
        <v>#VALUE!</v>
      </c>
      <c r="H119" s="22" t="e">
        <f t="shared" si="31"/>
        <v>#VALUE!</v>
      </c>
      <c r="I119" s="22" t="e">
        <f>VLOOKUP(H119,'2-SNR-Chan Cap vs Range'!$V$9:$Y$23,5)</f>
        <v>#VALUE!</v>
      </c>
      <c r="J119" s="22" t="e">
        <f>SUM(I$107:I119)/$A119</f>
        <v>#VALUE!</v>
      </c>
      <c r="K119" s="99" t="e">
        <f t="shared" si="32"/>
        <v>#VALUE!</v>
      </c>
    </row>
    <row r="120" spans="1:11">
      <c r="A120">
        <f t="shared" si="33"/>
        <v>14</v>
      </c>
      <c r="B120" s="22" t="e">
        <f t="shared" si="34"/>
        <v>#VALUE!</v>
      </c>
      <c r="C120" s="22" t="e">
        <f t="shared" si="29"/>
        <v>#VALUE!</v>
      </c>
      <c r="D120" s="22" t="e">
        <f>VLOOKUP(C120,'2-SNR-Chan Cap vs Range'!$V$9:$Y$23,5)</f>
        <v>#VALUE!</v>
      </c>
      <c r="E120" s="22" t="e">
        <f>SUM(D$107:D120)/$A120</f>
        <v>#VALUE!</v>
      </c>
      <c r="F120" s="99" t="e">
        <f t="shared" si="30"/>
        <v>#VALUE!</v>
      </c>
      <c r="G120" s="22" t="e">
        <f t="shared" si="35"/>
        <v>#VALUE!</v>
      </c>
      <c r="H120" s="22" t="e">
        <f t="shared" si="31"/>
        <v>#VALUE!</v>
      </c>
      <c r="I120" s="22" t="e">
        <f>VLOOKUP(H120,'2-SNR-Chan Cap vs Range'!$V$9:$Y$23,5)</f>
        <v>#VALUE!</v>
      </c>
      <c r="J120" s="22" t="e">
        <f>SUM(I$107:I120)/$A120</f>
        <v>#VALUE!</v>
      </c>
      <c r="K120" s="99" t="e">
        <f t="shared" si="32"/>
        <v>#VALUE!</v>
      </c>
    </row>
    <row r="121" spans="1:11">
      <c r="A121">
        <f t="shared" si="33"/>
        <v>15</v>
      </c>
      <c r="B121" s="22" t="e">
        <f t="shared" si="34"/>
        <v>#VALUE!</v>
      </c>
      <c r="C121" s="22" t="e">
        <f t="shared" si="29"/>
        <v>#VALUE!</v>
      </c>
      <c r="D121" s="22" t="e">
        <f>VLOOKUP(C121,'2-SNR-Chan Cap vs Range'!$V$9:$Y$23,5)</f>
        <v>#VALUE!</v>
      </c>
      <c r="E121" s="22" t="e">
        <f>SUM(D$107:D121)/$A121</f>
        <v>#VALUE!</v>
      </c>
      <c r="F121" s="99" t="e">
        <f t="shared" si="30"/>
        <v>#VALUE!</v>
      </c>
      <c r="G121" s="22" t="e">
        <f t="shared" si="35"/>
        <v>#VALUE!</v>
      </c>
      <c r="H121" s="22" t="e">
        <f t="shared" si="31"/>
        <v>#VALUE!</v>
      </c>
      <c r="I121" s="22" t="e">
        <f>VLOOKUP(H121,'2-SNR-Chan Cap vs Range'!$V$9:$Y$23,5)</f>
        <v>#VALUE!</v>
      </c>
      <c r="J121" s="22" t="e">
        <f>SUM(I$107:I121)/$A121</f>
        <v>#VALUE!</v>
      </c>
      <c r="K121" s="99" t="e">
        <f t="shared" si="32"/>
        <v>#VALUE!</v>
      </c>
    </row>
    <row r="122" spans="1:11">
      <c r="A122">
        <f t="shared" si="33"/>
        <v>16</v>
      </c>
      <c r="B122" s="22" t="e">
        <f t="shared" si="34"/>
        <v>#VALUE!</v>
      </c>
      <c r="C122" s="22" t="e">
        <f t="shared" si="29"/>
        <v>#VALUE!</v>
      </c>
      <c r="D122" s="22" t="e">
        <f>VLOOKUP(C122,'2-SNR-Chan Cap vs Range'!$V$9:$Y$23,5)</f>
        <v>#VALUE!</v>
      </c>
      <c r="E122" s="22" t="e">
        <f>SUM(D$107:D122)/$A122</f>
        <v>#VALUE!</v>
      </c>
      <c r="F122" s="99" t="e">
        <f t="shared" si="30"/>
        <v>#VALUE!</v>
      </c>
      <c r="G122" s="22" t="e">
        <f t="shared" si="35"/>
        <v>#VALUE!</v>
      </c>
      <c r="H122" s="22" t="e">
        <f t="shared" si="31"/>
        <v>#VALUE!</v>
      </c>
      <c r="I122" s="22" t="e">
        <f>VLOOKUP(H122,'2-SNR-Chan Cap vs Range'!$V$9:$Y$23,5)</f>
        <v>#VALUE!</v>
      </c>
      <c r="J122" s="22" t="e">
        <f>SUM(I$107:I122)/$A122</f>
        <v>#VALUE!</v>
      </c>
      <c r="K122" s="99" t="e">
        <f t="shared" si="32"/>
        <v>#VALUE!</v>
      </c>
    </row>
    <row r="123" spans="1:11">
      <c r="A123">
        <f t="shared" si="33"/>
        <v>17</v>
      </c>
      <c r="B123" s="22" t="e">
        <f t="shared" si="34"/>
        <v>#VALUE!</v>
      </c>
      <c r="C123" s="22" t="e">
        <f t="shared" si="29"/>
        <v>#VALUE!</v>
      </c>
      <c r="D123" s="22" t="e">
        <f>VLOOKUP(C123,'2-SNR-Chan Cap vs Range'!$V$9:$Y$23,5)</f>
        <v>#VALUE!</v>
      </c>
      <c r="E123" s="22" t="e">
        <f>SUM(D$107:D123)/$A123</f>
        <v>#VALUE!</v>
      </c>
      <c r="F123" s="99" t="e">
        <f t="shared" si="30"/>
        <v>#VALUE!</v>
      </c>
      <c r="G123" s="22" t="e">
        <f t="shared" si="35"/>
        <v>#VALUE!</v>
      </c>
      <c r="H123" s="22" t="e">
        <f t="shared" si="31"/>
        <v>#VALUE!</v>
      </c>
      <c r="I123" s="22" t="e">
        <f>VLOOKUP(H123,'2-SNR-Chan Cap vs Range'!$V$9:$Y$23,5)</f>
        <v>#VALUE!</v>
      </c>
      <c r="J123" s="22" t="e">
        <f>SUM(I$107:I123)/$A123</f>
        <v>#VALUE!</v>
      </c>
      <c r="K123" s="99" t="e">
        <f t="shared" si="32"/>
        <v>#VALUE!</v>
      </c>
    </row>
    <row r="124" spans="1:11">
      <c r="A124">
        <f t="shared" si="33"/>
        <v>18</v>
      </c>
      <c r="B124" s="22" t="e">
        <f t="shared" si="34"/>
        <v>#VALUE!</v>
      </c>
      <c r="C124" s="22" t="e">
        <f t="shared" si="29"/>
        <v>#VALUE!</v>
      </c>
      <c r="D124" s="22" t="e">
        <f>VLOOKUP(C124,'2-SNR-Chan Cap vs Range'!$V$9:$Y$23,5)</f>
        <v>#VALUE!</v>
      </c>
      <c r="E124" s="22" t="e">
        <f>SUM(D$107:D124)/$A124</f>
        <v>#VALUE!</v>
      </c>
      <c r="F124" s="99" t="e">
        <f t="shared" si="30"/>
        <v>#VALUE!</v>
      </c>
      <c r="G124" s="22" t="e">
        <f t="shared" si="35"/>
        <v>#VALUE!</v>
      </c>
      <c r="H124" s="22" t="e">
        <f t="shared" si="31"/>
        <v>#VALUE!</v>
      </c>
      <c r="I124" s="22" t="e">
        <f>VLOOKUP(H124,'2-SNR-Chan Cap vs Range'!$V$9:$Y$23,5)</f>
        <v>#VALUE!</v>
      </c>
      <c r="J124" s="22" t="e">
        <f>SUM(I$107:I124)/$A124</f>
        <v>#VALUE!</v>
      </c>
      <c r="K124" s="99" t="e">
        <f t="shared" si="32"/>
        <v>#VALUE!</v>
      </c>
    </row>
    <row r="125" spans="1:11">
      <c r="A125">
        <f t="shared" si="33"/>
        <v>19</v>
      </c>
      <c r="B125" s="22" t="e">
        <f t="shared" si="34"/>
        <v>#VALUE!</v>
      </c>
      <c r="C125" s="22" t="e">
        <f t="shared" si="29"/>
        <v>#VALUE!</v>
      </c>
      <c r="D125" s="22" t="e">
        <f>VLOOKUP(C125,'2-SNR-Chan Cap vs Range'!$V$9:$Y$23,5)</f>
        <v>#VALUE!</v>
      </c>
      <c r="E125" s="22" t="e">
        <f>SUM(D$107:D125)/$A125</f>
        <v>#VALUE!</v>
      </c>
      <c r="F125" s="99" t="e">
        <f t="shared" si="30"/>
        <v>#VALUE!</v>
      </c>
      <c r="G125" s="22" t="e">
        <f t="shared" si="35"/>
        <v>#VALUE!</v>
      </c>
      <c r="H125" s="22" t="e">
        <f t="shared" si="31"/>
        <v>#VALUE!</v>
      </c>
      <c r="I125" s="22" t="e">
        <f>VLOOKUP(H125,'2-SNR-Chan Cap vs Range'!$V$9:$Y$23,5)</f>
        <v>#VALUE!</v>
      </c>
      <c r="J125" s="22" t="e">
        <f>SUM(I$107:I125)/$A125</f>
        <v>#VALUE!</v>
      </c>
      <c r="K125" s="99" t="e">
        <f t="shared" si="32"/>
        <v>#VALUE!</v>
      </c>
    </row>
    <row r="126" spans="1:11">
      <c r="A126">
        <f t="shared" si="33"/>
        <v>20</v>
      </c>
      <c r="B126" s="22" t="e">
        <f t="shared" si="34"/>
        <v>#VALUE!</v>
      </c>
      <c r="C126" s="22" t="e">
        <f t="shared" si="29"/>
        <v>#VALUE!</v>
      </c>
      <c r="D126" s="22" t="e">
        <f>VLOOKUP(C126,'2-SNR-Chan Cap vs Range'!$V$9:$Y$23,5)</f>
        <v>#VALUE!</v>
      </c>
      <c r="E126" s="22" t="e">
        <f>SUM(D$107:D126)/$A126</f>
        <v>#VALUE!</v>
      </c>
      <c r="F126" s="99" t="e">
        <f t="shared" si="30"/>
        <v>#VALUE!</v>
      </c>
      <c r="G126" s="22" t="e">
        <f t="shared" si="35"/>
        <v>#VALUE!</v>
      </c>
      <c r="H126" s="22" t="e">
        <f t="shared" si="31"/>
        <v>#VALUE!</v>
      </c>
      <c r="I126" s="22" t="e">
        <f>VLOOKUP(H126,'2-SNR-Chan Cap vs Range'!$V$9:$Y$23,5)</f>
        <v>#VALUE!</v>
      </c>
      <c r="J126" s="22" t="e">
        <f>SUM(I$107:I126)/$A126</f>
        <v>#VALUE!</v>
      </c>
      <c r="K126" s="99" t="e">
        <f t="shared" si="32"/>
        <v>#VALUE!</v>
      </c>
    </row>
    <row r="127" spans="1:11">
      <c r="A127">
        <f t="shared" si="33"/>
        <v>21</v>
      </c>
      <c r="B127" s="22" t="e">
        <f t="shared" si="34"/>
        <v>#VALUE!</v>
      </c>
      <c r="C127" s="22" t="e">
        <f t="shared" si="29"/>
        <v>#VALUE!</v>
      </c>
      <c r="D127" s="22" t="e">
        <f>VLOOKUP(C127,'2-SNR-Chan Cap vs Range'!$V$9:$Y$23,5)</f>
        <v>#VALUE!</v>
      </c>
      <c r="E127" s="22" t="e">
        <f>SUM(D$107:D127)/$A127</f>
        <v>#VALUE!</v>
      </c>
      <c r="F127" s="99" t="e">
        <f t="shared" si="30"/>
        <v>#VALUE!</v>
      </c>
      <c r="G127" s="22" t="e">
        <f t="shared" si="35"/>
        <v>#VALUE!</v>
      </c>
      <c r="H127" s="22" t="e">
        <f t="shared" si="31"/>
        <v>#VALUE!</v>
      </c>
      <c r="I127" s="22" t="e">
        <f>VLOOKUP(H127,'2-SNR-Chan Cap vs Range'!$V$9:$Y$23,5)</f>
        <v>#VALUE!</v>
      </c>
      <c r="J127" s="22" t="e">
        <f>SUM(I$107:I127)/$A127</f>
        <v>#VALUE!</v>
      </c>
      <c r="K127" s="99" t="e">
        <f t="shared" si="32"/>
        <v>#VALUE!</v>
      </c>
    </row>
    <row r="128" spans="1:11">
      <c r="A128">
        <f t="shared" si="33"/>
        <v>22</v>
      </c>
      <c r="B128" s="22" t="e">
        <f t="shared" si="34"/>
        <v>#VALUE!</v>
      </c>
      <c r="C128" s="22" t="e">
        <f t="shared" si="29"/>
        <v>#VALUE!</v>
      </c>
      <c r="D128" s="22" t="e">
        <f>VLOOKUP(C128,'2-SNR-Chan Cap vs Range'!$V$9:$Y$23,5)</f>
        <v>#VALUE!</v>
      </c>
      <c r="E128" s="22" t="e">
        <f>SUM(D$107:D128)/$A128</f>
        <v>#VALUE!</v>
      </c>
      <c r="F128" s="99" t="e">
        <f t="shared" si="30"/>
        <v>#VALUE!</v>
      </c>
      <c r="G128" s="22" t="e">
        <f t="shared" si="35"/>
        <v>#VALUE!</v>
      </c>
      <c r="H128" s="22" t="e">
        <f t="shared" si="31"/>
        <v>#VALUE!</v>
      </c>
      <c r="I128" s="22" t="e">
        <f>VLOOKUP(H128,'2-SNR-Chan Cap vs Range'!$V$9:$Y$23,5)</f>
        <v>#VALUE!</v>
      </c>
      <c r="J128" s="22" t="e">
        <f>SUM(I$107:I128)/$A128</f>
        <v>#VALUE!</v>
      </c>
      <c r="K128" s="99" t="e">
        <f t="shared" si="32"/>
        <v>#VALUE!</v>
      </c>
    </row>
    <row r="129" spans="1:16">
      <c r="A129">
        <f t="shared" si="33"/>
        <v>23</v>
      </c>
      <c r="B129" s="22" t="e">
        <f t="shared" si="34"/>
        <v>#VALUE!</v>
      </c>
      <c r="C129" s="22" t="e">
        <f t="shared" si="29"/>
        <v>#VALUE!</v>
      </c>
      <c r="D129" s="22" t="e">
        <f>VLOOKUP(C129,'2-SNR-Chan Cap vs Range'!$V$9:$Y$23,5)</f>
        <v>#VALUE!</v>
      </c>
      <c r="E129" s="22" t="e">
        <f>SUM(D$107:D129)/$A129</f>
        <v>#VALUE!</v>
      </c>
      <c r="F129" s="99" t="e">
        <f t="shared" si="30"/>
        <v>#VALUE!</v>
      </c>
      <c r="G129" s="22" t="e">
        <f t="shared" si="35"/>
        <v>#VALUE!</v>
      </c>
      <c r="H129" s="22" t="e">
        <f t="shared" si="31"/>
        <v>#VALUE!</v>
      </c>
      <c r="I129" s="22" t="e">
        <f>VLOOKUP(H129,'2-SNR-Chan Cap vs Range'!$V$9:$Y$23,5)</f>
        <v>#VALUE!</v>
      </c>
      <c r="J129" s="22" t="e">
        <f>SUM(I$107:I129)/$A129</f>
        <v>#VALUE!</v>
      </c>
      <c r="K129" s="99" t="e">
        <f t="shared" si="32"/>
        <v>#VALUE!</v>
      </c>
    </row>
    <row r="130" spans="1:16">
      <c r="A130">
        <f t="shared" si="33"/>
        <v>24</v>
      </c>
      <c r="B130" s="22" t="e">
        <f t="shared" si="34"/>
        <v>#VALUE!</v>
      </c>
      <c r="C130" s="22" t="e">
        <f t="shared" si="29"/>
        <v>#VALUE!</v>
      </c>
      <c r="D130" s="22" t="e">
        <f>VLOOKUP(C130,'2-SNR-Chan Cap vs Range'!$V$9:$Y$23,5)</f>
        <v>#VALUE!</v>
      </c>
      <c r="E130" s="22" t="e">
        <f>SUM(D$107:D130)/$A130</f>
        <v>#VALUE!</v>
      </c>
      <c r="F130" s="99" t="e">
        <f t="shared" si="30"/>
        <v>#VALUE!</v>
      </c>
      <c r="G130" s="22" t="e">
        <f t="shared" si="35"/>
        <v>#VALUE!</v>
      </c>
      <c r="H130" s="22" t="e">
        <f t="shared" si="31"/>
        <v>#VALUE!</v>
      </c>
      <c r="I130" s="22" t="e">
        <f>VLOOKUP(H130,'2-SNR-Chan Cap vs Range'!$V$9:$Y$23,5)</f>
        <v>#VALUE!</v>
      </c>
      <c r="J130" s="22" t="e">
        <f>SUM(I$107:I130)/$A130</f>
        <v>#VALUE!</v>
      </c>
      <c r="K130" s="99" t="e">
        <f t="shared" si="32"/>
        <v>#VALUE!</v>
      </c>
    </row>
    <row r="131" spans="1:16">
      <c r="A131">
        <f t="shared" si="33"/>
        <v>25</v>
      </c>
      <c r="B131" s="15" t="str">
        <f>B15</f>
        <v>n/a</v>
      </c>
      <c r="C131" s="22">
        <f>B5</f>
        <v>5.7</v>
      </c>
      <c r="D131" s="22" t="e">
        <f>VLOOKUP(C131,'2-SNR-Chan Cap vs Range'!$V$9:$Y$23,5)</f>
        <v>#REF!</v>
      </c>
      <c r="E131" s="22" t="e">
        <f>SUM(D$107:D131)/$A131</f>
        <v>#VALUE!</v>
      </c>
      <c r="F131" s="99" t="e">
        <f t="shared" si="30"/>
        <v>#VALUE!</v>
      </c>
      <c r="G131" s="15" t="str">
        <f>D15</f>
        <v>n/a</v>
      </c>
      <c r="H131" s="22">
        <f>B5</f>
        <v>5.7</v>
      </c>
      <c r="I131" s="22" t="e">
        <f>VLOOKUP(H131,'2-SNR-Chan Cap vs Range'!$V$9:$Y$23,5)</f>
        <v>#REF!</v>
      </c>
      <c r="J131" s="22" t="e">
        <f>SUM(I$107:I131)/$A131</f>
        <v>#VALUE!</v>
      </c>
      <c r="K131" s="99" t="e">
        <f t="shared" si="32"/>
        <v>#VALUE!</v>
      </c>
    </row>
    <row r="134" spans="1:16" ht="30">
      <c r="A134" s="118" t="s">
        <v>58</v>
      </c>
      <c r="B134" s="3" t="s">
        <v>60</v>
      </c>
      <c r="C134" s="133" t="str">
        <f>B41</f>
        <v>n/a</v>
      </c>
      <c r="D134" s="128" t="s">
        <v>114</v>
      </c>
      <c r="E134" s="134"/>
      <c r="F134" s="134"/>
      <c r="G134" s="63" t="s">
        <v>36</v>
      </c>
      <c r="H134" s="133" t="str">
        <f>D41</f>
        <v>n/a</v>
      </c>
      <c r="I134" s="128" t="s">
        <v>114</v>
      </c>
      <c r="J134" s="134"/>
      <c r="K134" s="134"/>
      <c r="L134" s="63" t="s">
        <v>76</v>
      </c>
      <c r="M134" s="133" t="str">
        <f>F41</f>
        <v>n/a</v>
      </c>
      <c r="N134" s="128" t="s">
        <v>114</v>
      </c>
      <c r="O134" s="134"/>
      <c r="P134" s="135"/>
    </row>
    <row r="135" spans="1:16" ht="45">
      <c r="A135" s="127"/>
      <c r="B135" s="3" t="s">
        <v>95</v>
      </c>
      <c r="C135" s="3" t="s">
        <v>96</v>
      </c>
      <c r="D135" s="3" t="s">
        <v>6</v>
      </c>
      <c r="E135" s="125" t="s">
        <v>113</v>
      </c>
      <c r="F135" s="3" t="s">
        <v>97</v>
      </c>
      <c r="G135" s="3" t="s">
        <v>95</v>
      </c>
      <c r="H135" s="3" t="s">
        <v>96</v>
      </c>
      <c r="I135" s="3" t="s">
        <v>6</v>
      </c>
      <c r="J135" s="125" t="s">
        <v>113</v>
      </c>
      <c r="K135" s="3" t="s">
        <v>97</v>
      </c>
      <c r="L135" s="3" t="s">
        <v>95</v>
      </c>
      <c r="M135" s="3" t="s">
        <v>96</v>
      </c>
      <c r="N135" s="3" t="s">
        <v>6</v>
      </c>
      <c r="O135" s="125" t="s">
        <v>113</v>
      </c>
      <c r="P135" s="3" t="s">
        <v>97</v>
      </c>
    </row>
    <row r="136" spans="1:16">
      <c r="A136">
        <v>0</v>
      </c>
      <c r="B136" s="23">
        <v>0.05</v>
      </c>
      <c r="C136" s="22" t="e">
        <f>C$161+C$134*LOG10(B$161/B136)</f>
        <v>#VALUE!</v>
      </c>
      <c r="D136" s="22" t="e">
        <f>VLOOKUP(C136,'2-SNR-Chan Cap vs Range'!$V$9:$Y$23,5)</f>
        <v>#VALUE!</v>
      </c>
      <c r="E136" s="22" t="e">
        <f>D136</f>
        <v>#VALUE!</v>
      </c>
      <c r="F136" s="99" t="e">
        <f>B136^2/B$161^2</f>
        <v>#VALUE!</v>
      </c>
      <c r="G136" s="23">
        <f>B136</f>
        <v>0.05</v>
      </c>
      <c r="H136" s="22" t="e">
        <f>H$161+H$134*LOG10(G$161/G136)</f>
        <v>#VALUE!</v>
      </c>
      <c r="I136" s="22" t="e">
        <f>VLOOKUP(H136,'2-SNR-Chan Cap vs Range'!$V$9:$Y$23,5)</f>
        <v>#VALUE!</v>
      </c>
      <c r="J136" s="22" t="e">
        <f>I136</f>
        <v>#VALUE!</v>
      </c>
      <c r="K136" s="99" t="e">
        <f>G136^2/G$161^2</f>
        <v>#VALUE!</v>
      </c>
      <c r="L136" s="23">
        <f>G136</f>
        <v>0.05</v>
      </c>
      <c r="M136" s="22" t="e">
        <f>M$161+M$134*LOG10(L$161/L136)</f>
        <v>#VALUE!</v>
      </c>
      <c r="N136" s="22" t="e">
        <f>VLOOKUP(M136,'2-SNR-Chan Cap vs Range'!$V$9:$Y$23,5)</f>
        <v>#VALUE!</v>
      </c>
      <c r="O136" s="22" t="e">
        <f>N136</f>
        <v>#VALUE!</v>
      </c>
      <c r="P136" s="99" t="e">
        <f>L136^2/L$161^2</f>
        <v>#VALUE!</v>
      </c>
    </row>
    <row r="137" spans="1:16">
      <c r="A137">
        <f>A136+1</f>
        <v>1</v>
      </c>
      <c r="B137" s="22" t="e">
        <f>(B136^2+(B$161^2-B$136^2)/25)^0.5</f>
        <v>#VALUE!</v>
      </c>
      <c r="C137" s="22" t="e">
        <f t="shared" ref="C137:C160" si="36">C$161+C$134*LOG10(B$161/B137)</f>
        <v>#VALUE!</v>
      </c>
      <c r="D137" s="22" t="e">
        <f>VLOOKUP(C137,'2-SNR-Chan Cap vs Range'!$V$9:$Y$23,5)</f>
        <v>#VALUE!</v>
      </c>
      <c r="E137" s="22" t="e">
        <f>SUM(D$137:D137)/$A137</f>
        <v>#VALUE!</v>
      </c>
      <c r="F137" s="99" t="e">
        <f t="shared" ref="F137:F161" si="37">B137^2/B$161^2</f>
        <v>#VALUE!</v>
      </c>
      <c r="G137" s="22" t="e">
        <f>(G136^2+(G$161^2-G$136^2)/25)^0.5</f>
        <v>#VALUE!</v>
      </c>
      <c r="H137" s="22" t="e">
        <f t="shared" ref="H137:H160" si="38">H$161+H$134*LOG10(G$161/G137)</f>
        <v>#VALUE!</v>
      </c>
      <c r="I137" s="22" t="e">
        <f>VLOOKUP(H137,'2-SNR-Chan Cap vs Range'!$V$9:$Y$23,5)</f>
        <v>#VALUE!</v>
      </c>
      <c r="J137" s="22" t="e">
        <f>SUM(I$137:I137)/$A137</f>
        <v>#VALUE!</v>
      </c>
      <c r="K137" s="99" t="e">
        <f t="shared" ref="K137:K161" si="39">G137^2/G$161^2</f>
        <v>#VALUE!</v>
      </c>
      <c r="L137" s="22" t="e">
        <f>(L136^2+(L$161^2-L$136^2)/25)^0.5</f>
        <v>#VALUE!</v>
      </c>
      <c r="M137" s="22" t="e">
        <f t="shared" ref="M137:M160" si="40">M$161+M$134*LOG10(L$161/L137)</f>
        <v>#VALUE!</v>
      </c>
      <c r="N137" s="22" t="e">
        <f>VLOOKUP(M137,'2-SNR-Chan Cap vs Range'!$V$9:$Y$23,5)</f>
        <v>#VALUE!</v>
      </c>
      <c r="O137" s="22" t="e">
        <f>SUM(N$137:N137)/$A137</f>
        <v>#VALUE!</v>
      </c>
      <c r="P137" s="99" t="e">
        <f t="shared" ref="P137:P161" si="41">L137^2/L$161^2</f>
        <v>#VALUE!</v>
      </c>
    </row>
    <row r="138" spans="1:16">
      <c r="A138">
        <f t="shared" ref="A138:A161" si="42">A137+1</f>
        <v>2</v>
      </c>
      <c r="B138" s="22" t="e">
        <f t="shared" ref="B138:B160" si="43">(B137^2+(B$161^2-B$136^2)/25)^0.5</f>
        <v>#VALUE!</v>
      </c>
      <c r="C138" s="22" t="e">
        <f t="shared" si="36"/>
        <v>#VALUE!</v>
      </c>
      <c r="D138" s="22" t="e">
        <f>VLOOKUP(C138,'2-SNR-Chan Cap vs Range'!$V$9:$Y$23,5)</f>
        <v>#VALUE!</v>
      </c>
      <c r="E138" s="22" t="e">
        <f>SUM(D$137:D138)/$A138</f>
        <v>#VALUE!</v>
      </c>
      <c r="F138" s="99" t="e">
        <f t="shared" si="37"/>
        <v>#VALUE!</v>
      </c>
      <c r="G138" s="22" t="e">
        <f t="shared" ref="G138:G160" si="44">(G137^2+(G$161^2-G$136^2)/25)^0.5</f>
        <v>#VALUE!</v>
      </c>
      <c r="H138" s="22" t="e">
        <f t="shared" si="38"/>
        <v>#VALUE!</v>
      </c>
      <c r="I138" s="22" t="e">
        <f>VLOOKUP(H138,'2-SNR-Chan Cap vs Range'!$V$9:$Y$23,5)</f>
        <v>#VALUE!</v>
      </c>
      <c r="J138" s="22" t="e">
        <f>SUM(I$137:I138)/$A138</f>
        <v>#VALUE!</v>
      </c>
      <c r="K138" s="99" t="e">
        <f t="shared" si="39"/>
        <v>#VALUE!</v>
      </c>
      <c r="L138" s="22" t="e">
        <f t="shared" ref="L138:L160" si="45">(L137^2+(L$161^2-L$136^2)/25)^0.5</f>
        <v>#VALUE!</v>
      </c>
      <c r="M138" s="22" t="e">
        <f t="shared" si="40"/>
        <v>#VALUE!</v>
      </c>
      <c r="N138" s="22" t="e">
        <f>VLOOKUP(M138,'2-SNR-Chan Cap vs Range'!$V$9:$Y$23,5)</f>
        <v>#VALUE!</v>
      </c>
      <c r="O138" s="22" t="e">
        <f>SUM(N$137:N138)/$A138</f>
        <v>#VALUE!</v>
      </c>
      <c r="P138" s="99" t="e">
        <f t="shared" si="41"/>
        <v>#VALUE!</v>
      </c>
    </row>
    <row r="139" spans="1:16">
      <c r="A139">
        <f t="shared" si="42"/>
        <v>3</v>
      </c>
      <c r="B139" s="22" t="e">
        <f t="shared" si="43"/>
        <v>#VALUE!</v>
      </c>
      <c r="C139" s="22" t="e">
        <f t="shared" si="36"/>
        <v>#VALUE!</v>
      </c>
      <c r="D139" s="22" t="e">
        <f>VLOOKUP(C139,'2-SNR-Chan Cap vs Range'!$V$9:$Y$23,5)</f>
        <v>#VALUE!</v>
      </c>
      <c r="E139" s="22" t="e">
        <f>SUM(D$137:D139)/$A139</f>
        <v>#VALUE!</v>
      </c>
      <c r="F139" s="99" t="e">
        <f t="shared" si="37"/>
        <v>#VALUE!</v>
      </c>
      <c r="G139" s="22" t="e">
        <f t="shared" si="44"/>
        <v>#VALUE!</v>
      </c>
      <c r="H139" s="22" t="e">
        <f t="shared" si="38"/>
        <v>#VALUE!</v>
      </c>
      <c r="I139" s="22" t="e">
        <f>VLOOKUP(H139,'2-SNR-Chan Cap vs Range'!$V$9:$Y$23,5)</f>
        <v>#VALUE!</v>
      </c>
      <c r="J139" s="22" t="e">
        <f>SUM(I$137:I139)/$A139</f>
        <v>#VALUE!</v>
      </c>
      <c r="K139" s="99" t="e">
        <f t="shared" si="39"/>
        <v>#VALUE!</v>
      </c>
      <c r="L139" s="22" t="e">
        <f t="shared" si="45"/>
        <v>#VALUE!</v>
      </c>
      <c r="M139" s="22" t="e">
        <f t="shared" si="40"/>
        <v>#VALUE!</v>
      </c>
      <c r="N139" s="22" t="e">
        <f>VLOOKUP(M139,'2-SNR-Chan Cap vs Range'!$V$9:$Y$23,5)</f>
        <v>#VALUE!</v>
      </c>
      <c r="O139" s="22" t="e">
        <f>SUM(N$137:N139)/$A139</f>
        <v>#VALUE!</v>
      </c>
      <c r="P139" s="99" t="e">
        <f t="shared" si="41"/>
        <v>#VALUE!</v>
      </c>
    </row>
    <row r="140" spans="1:16">
      <c r="A140">
        <f t="shared" si="42"/>
        <v>4</v>
      </c>
      <c r="B140" s="22" t="e">
        <f t="shared" si="43"/>
        <v>#VALUE!</v>
      </c>
      <c r="C140" s="22" t="e">
        <f t="shared" si="36"/>
        <v>#VALUE!</v>
      </c>
      <c r="D140" s="22" t="e">
        <f>VLOOKUP(C140,'2-SNR-Chan Cap vs Range'!$V$9:$Y$23,5)</f>
        <v>#VALUE!</v>
      </c>
      <c r="E140" s="22" t="e">
        <f>SUM(D$137:D140)/$A140</f>
        <v>#VALUE!</v>
      </c>
      <c r="F140" s="99" t="e">
        <f t="shared" si="37"/>
        <v>#VALUE!</v>
      </c>
      <c r="G140" s="22" t="e">
        <f t="shared" si="44"/>
        <v>#VALUE!</v>
      </c>
      <c r="H140" s="22" t="e">
        <f t="shared" si="38"/>
        <v>#VALUE!</v>
      </c>
      <c r="I140" s="22" t="e">
        <f>VLOOKUP(H140,'2-SNR-Chan Cap vs Range'!$V$9:$Y$23,5)</f>
        <v>#VALUE!</v>
      </c>
      <c r="J140" s="22" t="e">
        <f>SUM(I$137:I140)/$A140</f>
        <v>#VALUE!</v>
      </c>
      <c r="K140" s="99" t="e">
        <f t="shared" si="39"/>
        <v>#VALUE!</v>
      </c>
      <c r="L140" s="22" t="e">
        <f t="shared" si="45"/>
        <v>#VALUE!</v>
      </c>
      <c r="M140" s="22" t="e">
        <f t="shared" si="40"/>
        <v>#VALUE!</v>
      </c>
      <c r="N140" s="22" t="e">
        <f>VLOOKUP(M140,'2-SNR-Chan Cap vs Range'!$V$9:$Y$23,5)</f>
        <v>#VALUE!</v>
      </c>
      <c r="O140" s="22" t="e">
        <f>SUM(N$137:N140)/$A140</f>
        <v>#VALUE!</v>
      </c>
      <c r="P140" s="99" t="e">
        <f t="shared" si="41"/>
        <v>#VALUE!</v>
      </c>
    </row>
    <row r="141" spans="1:16">
      <c r="A141">
        <f t="shared" si="42"/>
        <v>5</v>
      </c>
      <c r="B141" s="22" t="e">
        <f t="shared" si="43"/>
        <v>#VALUE!</v>
      </c>
      <c r="C141" s="22" t="e">
        <f t="shared" si="36"/>
        <v>#VALUE!</v>
      </c>
      <c r="D141" s="22" t="e">
        <f>VLOOKUP(C141,'2-SNR-Chan Cap vs Range'!$V$9:$Y$23,5)</f>
        <v>#VALUE!</v>
      </c>
      <c r="E141" s="22" t="e">
        <f>SUM(D$137:D141)/$A141</f>
        <v>#VALUE!</v>
      </c>
      <c r="F141" s="99" t="e">
        <f t="shared" si="37"/>
        <v>#VALUE!</v>
      </c>
      <c r="G141" s="22" t="e">
        <f t="shared" si="44"/>
        <v>#VALUE!</v>
      </c>
      <c r="H141" s="22" t="e">
        <f t="shared" si="38"/>
        <v>#VALUE!</v>
      </c>
      <c r="I141" s="22" t="e">
        <f>VLOOKUP(H141,'2-SNR-Chan Cap vs Range'!$V$9:$Y$23,5)</f>
        <v>#VALUE!</v>
      </c>
      <c r="J141" s="22" t="e">
        <f>SUM(I$137:I141)/$A141</f>
        <v>#VALUE!</v>
      </c>
      <c r="K141" s="99" t="e">
        <f t="shared" si="39"/>
        <v>#VALUE!</v>
      </c>
      <c r="L141" s="22" t="e">
        <f t="shared" si="45"/>
        <v>#VALUE!</v>
      </c>
      <c r="M141" s="22" t="e">
        <f t="shared" si="40"/>
        <v>#VALUE!</v>
      </c>
      <c r="N141" s="22" t="e">
        <f>VLOOKUP(M141,'2-SNR-Chan Cap vs Range'!$V$9:$Y$23,5)</f>
        <v>#VALUE!</v>
      </c>
      <c r="O141" s="22" t="e">
        <f>SUM(N$137:N141)/$A141</f>
        <v>#VALUE!</v>
      </c>
      <c r="P141" s="99" t="e">
        <f t="shared" si="41"/>
        <v>#VALUE!</v>
      </c>
    </row>
    <row r="142" spans="1:16">
      <c r="A142">
        <f t="shared" si="42"/>
        <v>6</v>
      </c>
      <c r="B142" s="22" t="e">
        <f t="shared" si="43"/>
        <v>#VALUE!</v>
      </c>
      <c r="C142" s="22" t="e">
        <f t="shared" si="36"/>
        <v>#VALUE!</v>
      </c>
      <c r="D142" s="22" t="e">
        <f>VLOOKUP(C142,'2-SNR-Chan Cap vs Range'!$V$9:$Y$23,5)</f>
        <v>#VALUE!</v>
      </c>
      <c r="E142" s="22" t="e">
        <f>SUM(D$137:D142)/$A142</f>
        <v>#VALUE!</v>
      </c>
      <c r="F142" s="99" t="e">
        <f t="shared" si="37"/>
        <v>#VALUE!</v>
      </c>
      <c r="G142" s="22" t="e">
        <f t="shared" si="44"/>
        <v>#VALUE!</v>
      </c>
      <c r="H142" s="22" t="e">
        <f t="shared" si="38"/>
        <v>#VALUE!</v>
      </c>
      <c r="I142" s="22" t="e">
        <f>VLOOKUP(H142,'2-SNR-Chan Cap vs Range'!$V$9:$Y$23,5)</f>
        <v>#VALUE!</v>
      </c>
      <c r="J142" s="22" t="e">
        <f>SUM(I$137:I142)/$A142</f>
        <v>#VALUE!</v>
      </c>
      <c r="K142" s="99" t="e">
        <f t="shared" si="39"/>
        <v>#VALUE!</v>
      </c>
      <c r="L142" s="22" t="e">
        <f t="shared" si="45"/>
        <v>#VALUE!</v>
      </c>
      <c r="M142" s="22" t="e">
        <f t="shared" si="40"/>
        <v>#VALUE!</v>
      </c>
      <c r="N142" s="22" t="e">
        <f>VLOOKUP(M142,'2-SNR-Chan Cap vs Range'!$V$9:$Y$23,5)</f>
        <v>#VALUE!</v>
      </c>
      <c r="O142" s="22" t="e">
        <f>SUM(N$137:N142)/$A142</f>
        <v>#VALUE!</v>
      </c>
      <c r="P142" s="99" t="e">
        <f t="shared" si="41"/>
        <v>#VALUE!</v>
      </c>
    </row>
    <row r="143" spans="1:16">
      <c r="A143">
        <f t="shared" si="42"/>
        <v>7</v>
      </c>
      <c r="B143" s="22" t="e">
        <f t="shared" si="43"/>
        <v>#VALUE!</v>
      </c>
      <c r="C143" s="22" t="e">
        <f t="shared" si="36"/>
        <v>#VALUE!</v>
      </c>
      <c r="D143" s="22" t="e">
        <f>VLOOKUP(C143,'2-SNR-Chan Cap vs Range'!$V$9:$Y$23,5)</f>
        <v>#VALUE!</v>
      </c>
      <c r="E143" s="22" t="e">
        <f>SUM(D$137:D143)/$A143</f>
        <v>#VALUE!</v>
      </c>
      <c r="F143" s="99" t="e">
        <f t="shared" si="37"/>
        <v>#VALUE!</v>
      </c>
      <c r="G143" s="22" t="e">
        <f t="shared" si="44"/>
        <v>#VALUE!</v>
      </c>
      <c r="H143" s="22" t="e">
        <f t="shared" si="38"/>
        <v>#VALUE!</v>
      </c>
      <c r="I143" s="22" t="e">
        <f>VLOOKUP(H143,'2-SNR-Chan Cap vs Range'!$V$9:$Y$23,5)</f>
        <v>#VALUE!</v>
      </c>
      <c r="J143" s="22" t="e">
        <f>SUM(I$137:I143)/$A143</f>
        <v>#VALUE!</v>
      </c>
      <c r="K143" s="99" t="e">
        <f t="shared" si="39"/>
        <v>#VALUE!</v>
      </c>
      <c r="L143" s="22" t="e">
        <f t="shared" si="45"/>
        <v>#VALUE!</v>
      </c>
      <c r="M143" s="22" t="e">
        <f t="shared" si="40"/>
        <v>#VALUE!</v>
      </c>
      <c r="N143" s="22" t="e">
        <f>VLOOKUP(M143,'2-SNR-Chan Cap vs Range'!$V$9:$Y$23,5)</f>
        <v>#VALUE!</v>
      </c>
      <c r="O143" s="22" t="e">
        <f>SUM(N$137:N143)/$A143</f>
        <v>#VALUE!</v>
      </c>
      <c r="P143" s="99" t="e">
        <f t="shared" si="41"/>
        <v>#VALUE!</v>
      </c>
    </row>
    <row r="144" spans="1:16">
      <c r="A144">
        <f t="shared" si="42"/>
        <v>8</v>
      </c>
      <c r="B144" s="22" t="e">
        <f t="shared" si="43"/>
        <v>#VALUE!</v>
      </c>
      <c r="C144" s="22" t="e">
        <f t="shared" si="36"/>
        <v>#VALUE!</v>
      </c>
      <c r="D144" s="22" t="e">
        <f>VLOOKUP(C144,'2-SNR-Chan Cap vs Range'!$V$9:$Y$23,5)</f>
        <v>#VALUE!</v>
      </c>
      <c r="E144" s="22" t="e">
        <f>SUM(D$137:D144)/$A144</f>
        <v>#VALUE!</v>
      </c>
      <c r="F144" s="99" t="e">
        <f t="shared" si="37"/>
        <v>#VALUE!</v>
      </c>
      <c r="G144" s="22" t="e">
        <f t="shared" si="44"/>
        <v>#VALUE!</v>
      </c>
      <c r="H144" s="22" t="e">
        <f t="shared" si="38"/>
        <v>#VALUE!</v>
      </c>
      <c r="I144" s="22" t="e">
        <f>VLOOKUP(H144,'2-SNR-Chan Cap vs Range'!$V$9:$Y$23,5)</f>
        <v>#VALUE!</v>
      </c>
      <c r="J144" s="22" t="e">
        <f>SUM(I$137:I144)/$A144</f>
        <v>#VALUE!</v>
      </c>
      <c r="K144" s="99" t="e">
        <f t="shared" si="39"/>
        <v>#VALUE!</v>
      </c>
      <c r="L144" s="22" t="e">
        <f t="shared" si="45"/>
        <v>#VALUE!</v>
      </c>
      <c r="M144" s="22" t="e">
        <f t="shared" si="40"/>
        <v>#VALUE!</v>
      </c>
      <c r="N144" s="22" t="e">
        <f>VLOOKUP(M144,'2-SNR-Chan Cap vs Range'!$V$9:$Y$23,5)</f>
        <v>#VALUE!</v>
      </c>
      <c r="O144" s="22" t="e">
        <f>SUM(N$137:N144)/$A144</f>
        <v>#VALUE!</v>
      </c>
      <c r="P144" s="99" t="e">
        <f t="shared" si="41"/>
        <v>#VALUE!</v>
      </c>
    </row>
    <row r="145" spans="1:16">
      <c r="A145">
        <f t="shared" si="42"/>
        <v>9</v>
      </c>
      <c r="B145" s="22" t="e">
        <f t="shared" si="43"/>
        <v>#VALUE!</v>
      </c>
      <c r="C145" s="22" t="e">
        <f t="shared" si="36"/>
        <v>#VALUE!</v>
      </c>
      <c r="D145" s="22" t="e">
        <f>VLOOKUP(C145,'2-SNR-Chan Cap vs Range'!$V$9:$Y$23,5)</f>
        <v>#VALUE!</v>
      </c>
      <c r="E145" s="22" t="e">
        <f>SUM(D$137:D145)/$A145</f>
        <v>#VALUE!</v>
      </c>
      <c r="F145" s="99" t="e">
        <f t="shared" si="37"/>
        <v>#VALUE!</v>
      </c>
      <c r="G145" s="22" t="e">
        <f t="shared" si="44"/>
        <v>#VALUE!</v>
      </c>
      <c r="H145" s="22" t="e">
        <f t="shared" si="38"/>
        <v>#VALUE!</v>
      </c>
      <c r="I145" s="22" t="e">
        <f>VLOOKUP(H145,'2-SNR-Chan Cap vs Range'!$V$9:$Y$23,5)</f>
        <v>#VALUE!</v>
      </c>
      <c r="J145" s="22" t="e">
        <f>SUM(I$137:I145)/$A145</f>
        <v>#VALUE!</v>
      </c>
      <c r="K145" s="99" t="e">
        <f t="shared" si="39"/>
        <v>#VALUE!</v>
      </c>
      <c r="L145" s="22" t="e">
        <f t="shared" si="45"/>
        <v>#VALUE!</v>
      </c>
      <c r="M145" s="22" t="e">
        <f t="shared" si="40"/>
        <v>#VALUE!</v>
      </c>
      <c r="N145" s="22" t="e">
        <f>VLOOKUP(M145,'2-SNR-Chan Cap vs Range'!$V$9:$Y$23,5)</f>
        <v>#VALUE!</v>
      </c>
      <c r="O145" s="22" t="e">
        <f>SUM(N$137:N145)/$A145</f>
        <v>#VALUE!</v>
      </c>
      <c r="P145" s="99" t="e">
        <f t="shared" si="41"/>
        <v>#VALUE!</v>
      </c>
    </row>
    <row r="146" spans="1:16">
      <c r="A146">
        <f t="shared" si="42"/>
        <v>10</v>
      </c>
      <c r="B146" s="22" t="e">
        <f t="shared" si="43"/>
        <v>#VALUE!</v>
      </c>
      <c r="C146" s="22" t="e">
        <f t="shared" si="36"/>
        <v>#VALUE!</v>
      </c>
      <c r="D146" s="22" t="e">
        <f>VLOOKUP(C146,'2-SNR-Chan Cap vs Range'!$V$9:$Y$23,5)</f>
        <v>#VALUE!</v>
      </c>
      <c r="E146" s="22" t="e">
        <f>SUM(D$137:D146)/$A146</f>
        <v>#VALUE!</v>
      </c>
      <c r="F146" s="99" t="e">
        <f t="shared" si="37"/>
        <v>#VALUE!</v>
      </c>
      <c r="G146" s="22" t="e">
        <f t="shared" si="44"/>
        <v>#VALUE!</v>
      </c>
      <c r="H146" s="22" t="e">
        <f t="shared" si="38"/>
        <v>#VALUE!</v>
      </c>
      <c r="I146" s="22" t="e">
        <f>VLOOKUP(H146,'2-SNR-Chan Cap vs Range'!$V$9:$Y$23,5)</f>
        <v>#VALUE!</v>
      </c>
      <c r="J146" s="22" t="e">
        <f>SUM(I$137:I146)/$A146</f>
        <v>#VALUE!</v>
      </c>
      <c r="K146" s="99" t="e">
        <f t="shared" si="39"/>
        <v>#VALUE!</v>
      </c>
      <c r="L146" s="22" t="e">
        <f t="shared" si="45"/>
        <v>#VALUE!</v>
      </c>
      <c r="M146" s="22" t="e">
        <f t="shared" si="40"/>
        <v>#VALUE!</v>
      </c>
      <c r="N146" s="22" t="e">
        <f>VLOOKUP(M146,'2-SNR-Chan Cap vs Range'!$V$9:$Y$23,5)</f>
        <v>#VALUE!</v>
      </c>
      <c r="O146" s="22" t="e">
        <f>SUM(N$137:N146)/$A146</f>
        <v>#VALUE!</v>
      </c>
      <c r="P146" s="99" t="e">
        <f t="shared" si="41"/>
        <v>#VALUE!</v>
      </c>
    </row>
    <row r="147" spans="1:16">
      <c r="A147">
        <f t="shared" si="42"/>
        <v>11</v>
      </c>
      <c r="B147" s="22" t="e">
        <f t="shared" si="43"/>
        <v>#VALUE!</v>
      </c>
      <c r="C147" s="22" t="e">
        <f t="shared" si="36"/>
        <v>#VALUE!</v>
      </c>
      <c r="D147" s="22" t="e">
        <f>VLOOKUP(C147,'2-SNR-Chan Cap vs Range'!$V$9:$Y$23,5)</f>
        <v>#VALUE!</v>
      </c>
      <c r="E147" s="22" t="e">
        <f>SUM(D$137:D147)/$A147</f>
        <v>#VALUE!</v>
      </c>
      <c r="F147" s="99" t="e">
        <f t="shared" si="37"/>
        <v>#VALUE!</v>
      </c>
      <c r="G147" s="22" t="e">
        <f t="shared" si="44"/>
        <v>#VALUE!</v>
      </c>
      <c r="H147" s="22" t="e">
        <f t="shared" si="38"/>
        <v>#VALUE!</v>
      </c>
      <c r="I147" s="22" t="e">
        <f>VLOOKUP(H147,'2-SNR-Chan Cap vs Range'!$V$9:$Y$23,5)</f>
        <v>#VALUE!</v>
      </c>
      <c r="J147" s="22" t="e">
        <f>SUM(I$137:I147)/$A147</f>
        <v>#VALUE!</v>
      </c>
      <c r="K147" s="99" t="e">
        <f t="shared" si="39"/>
        <v>#VALUE!</v>
      </c>
      <c r="L147" s="22" t="e">
        <f t="shared" si="45"/>
        <v>#VALUE!</v>
      </c>
      <c r="M147" s="22" t="e">
        <f t="shared" si="40"/>
        <v>#VALUE!</v>
      </c>
      <c r="N147" s="22" t="e">
        <f>VLOOKUP(M147,'2-SNR-Chan Cap vs Range'!$V$9:$Y$23,5)</f>
        <v>#VALUE!</v>
      </c>
      <c r="O147" s="22" t="e">
        <f>SUM(N$137:N147)/$A147</f>
        <v>#VALUE!</v>
      </c>
      <c r="P147" s="99" t="e">
        <f t="shared" si="41"/>
        <v>#VALUE!</v>
      </c>
    </row>
    <row r="148" spans="1:16">
      <c r="A148">
        <f t="shared" si="42"/>
        <v>12</v>
      </c>
      <c r="B148" s="22" t="e">
        <f t="shared" si="43"/>
        <v>#VALUE!</v>
      </c>
      <c r="C148" s="22" t="e">
        <f t="shared" si="36"/>
        <v>#VALUE!</v>
      </c>
      <c r="D148" s="22" t="e">
        <f>VLOOKUP(C148,'2-SNR-Chan Cap vs Range'!$V$9:$Y$23,5)</f>
        <v>#VALUE!</v>
      </c>
      <c r="E148" s="22" t="e">
        <f>SUM(D$137:D148)/$A148</f>
        <v>#VALUE!</v>
      </c>
      <c r="F148" s="99" t="e">
        <f t="shared" si="37"/>
        <v>#VALUE!</v>
      </c>
      <c r="G148" s="22" t="e">
        <f t="shared" si="44"/>
        <v>#VALUE!</v>
      </c>
      <c r="H148" s="22" t="e">
        <f t="shared" si="38"/>
        <v>#VALUE!</v>
      </c>
      <c r="I148" s="22" t="e">
        <f>VLOOKUP(H148,'2-SNR-Chan Cap vs Range'!$V$9:$Y$23,5)</f>
        <v>#VALUE!</v>
      </c>
      <c r="J148" s="22" t="e">
        <f>SUM(I$137:I148)/$A148</f>
        <v>#VALUE!</v>
      </c>
      <c r="K148" s="99" t="e">
        <f t="shared" si="39"/>
        <v>#VALUE!</v>
      </c>
      <c r="L148" s="22" t="e">
        <f t="shared" si="45"/>
        <v>#VALUE!</v>
      </c>
      <c r="M148" s="22" t="e">
        <f t="shared" si="40"/>
        <v>#VALUE!</v>
      </c>
      <c r="N148" s="22" t="e">
        <f>VLOOKUP(M148,'2-SNR-Chan Cap vs Range'!$V$9:$Y$23,5)</f>
        <v>#VALUE!</v>
      </c>
      <c r="O148" s="22" t="e">
        <f>SUM(N$137:N148)/$A148</f>
        <v>#VALUE!</v>
      </c>
      <c r="P148" s="99" t="e">
        <f t="shared" si="41"/>
        <v>#VALUE!</v>
      </c>
    </row>
    <row r="149" spans="1:16">
      <c r="A149">
        <f t="shared" si="42"/>
        <v>13</v>
      </c>
      <c r="B149" s="22" t="e">
        <f t="shared" si="43"/>
        <v>#VALUE!</v>
      </c>
      <c r="C149" s="22" t="e">
        <f t="shared" si="36"/>
        <v>#VALUE!</v>
      </c>
      <c r="D149" s="22" t="e">
        <f>VLOOKUP(C149,'2-SNR-Chan Cap vs Range'!$V$9:$Y$23,5)</f>
        <v>#VALUE!</v>
      </c>
      <c r="E149" s="22" t="e">
        <f>SUM(D$137:D149)/$A149</f>
        <v>#VALUE!</v>
      </c>
      <c r="F149" s="99" t="e">
        <f t="shared" si="37"/>
        <v>#VALUE!</v>
      </c>
      <c r="G149" s="22" t="e">
        <f t="shared" si="44"/>
        <v>#VALUE!</v>
      </c>
      <c r="H149" s="22" t="e">
        <f t="shared" si="38"/>
        <v>#VALUE!</v>
      </c>
      <c r="I149" s="22" t="e">
        <f>VLOOKUP(H149,'2-SNR-Chan Cap vs Range'!$V$9:$Y$23,5)</f>
        <v>#VALUE!</v>
      </c>
      <c r="J149" s="22" t="e">
        <f>SUM(I$137:I149)/$A149</f>
        <v>#VALUE!</v>
      </c>
      <c r="K149" s="99" t="e">
        <f t="shared" si="39"/>
        <v>#VALUE!</v>
      </c>
      <c r="L149" s="22" t="e">
        <f t="shared" si="45"/>
        <v>#VALUE!</v>
      </c>
      <c r="M149" s="22" t="e">
        <f t="shared" si="40"/>
        <v>#VALUE!</v>
      </c>
      <c r="N149" s="22" t="e">
        <f>VLOOKUP(M149,'2-SNR-Chan Cap vs Range'!$V$9:$Y$23,5)</f>
        <v>#VALUE!</v>
      </c>
      <c r="O149" s="22" t="e">
        <f>SUM(N$137:N149)/$A149</f>
        <v>#VALUE!</v>
      </c>
      <c r="P149" s="99" t="e">
        <f t="shared" si="41"/>
        <v>#VALUE!</v>
      </c>
    </row>
    <row r="150" spans="1:16">
      <c r="A150">
        <f t="shared" si="42"/>
        <v>14</v>
      </c>
      <c r="B150" s="22" t="e">
        <f t="shared" si="43"/>
        <v>#VALUE!</v>
      </c>
      <c r="C150" s="22" t="e">
        <f t="shared" si="36"/>
        <v>#VALUE!</v>
      </c>
      <c r="D150" s="22" t="e">
        <f>VLOOKUP(C150,'2-SNR-Chan Cap vs Range'!$V$9:$Y$23,5)</f>
        <v>#VALUE!</v>
      </c>
      <c r="E150" s="22" t="e">
        <f>SUM(D$137:D150)/$A150</f>
        <v>#VALUE!</v>
      </c>
      <c r="F150" s="99" t="e">
        <f t="shared" si="37"/>
        <v>#VALUE!</v>
      </c>
      <c r="G150" s="22" t="e">
        <f t="shared" si="44"/>
        <v>#VALUE!</v>
      </c>
      <c r="H150" s="22" t="e">
        <f t="shared" si="38"/>
        <v>#VALUE!</v>
      </c>
      <c r="I150" s="22" t="e">
        <f>VLOOKUP(H150,'2-SNR-Chan Cap vs Range'!$V$9:$Y$23,5)</f>
        <v>#VALUE!</v>
      </c>
      <c r="J150" s="22" t="e">
        <f>SUM(I$137:I150)/$A150</f>
        <v>#VALUE!</v>
      </c>
      <c r="K150" s="99" t="e">
        <f t="shared" si="39"/>
        <v>#VALUE!</v>
      </c>
      <c r="L150" s="22" t="e">
        <f t="shared" si="45"/>
        <v>#VALUE!</v>
      </c>
      <c r="M150" s="22" t="e">
        <f t="shared" si="40"/>
        <v>#VALUE!</v>
      </c>
      <c r="N150" s="22" t="e">
        <f>VLOOKUP(M150,'2-SNR-Chan Cap vs Range'!$V$9:$Y$23,5)</f>
        <v>#VALUE!</v>
      </c>
      <c r="O150" s="22" t="e">
        <f>SUM(N$137:N150)/$A150</f>
        <v>#VALUE!</v>
      </c>
      <c r="P150" s="99" t="e">
        <f t="shared" si="41"/>
        <v>#VALUE!</v>
      </c>
    </row>
    <row r="151" spans="1:16">
      <c r="A151">
        <f t="shared" si="42"/>
        <v>15</v>
      </c>
      <c r="B151" s="22" t="e">
        <f t="shared" si="43"/>
        <v>#VALUE!</v>
      </c>
      <c r="C151" s="22" t="e">
        <f t="shared" si="36"/>
        <v>#VALUE!</v>
      </c>
      <c r="D151" s="22" t="e">
        <f>VLOOKUP(C151,'2-SNR-Chan Cap vs Range'!$V$9:$Y$23,5)</f>
        <v>#VALUE!</v>
      </c>
      <c r="E151" s="22" t="e">
        <f>SUM(D$137:D151)/$A151</f>
        <v>#VALUE!</v>
      </c>
      <c r="F151" s="99" t="e">
        <f t="shared" si="37"/>
        <v>#VALUE!</v>
      </c>
      <c r="G151" s="22" t="e">
        <f t="shared" si="44"/>
        <v>#VALUE!</v>
      </c>
      <c r="H151" s="22" t="e">
        <f t="shared" si="38"/>
        <v>#VALUE!</v>
      </c>
      <c r="I151" s="22" t="e">
        <f>VLOOKUP(H151,'2-SNR-Chan Cap vs Range'!$V$9:$Y$23,5)</f>
        <v>#VALUE!</v>
      </c>
      <c r="J151" s="22" t="e">
        <f>SUM(I$137:I151)/$A151</f>
        <v>#VALUE!</v>
      </c>
      <c r="K151" s="99" t="e">
        <f t="shared" si="39"/>
        <v>#VALUE!</v>
      </c>
      <c r="L151" s="22" t="e">
        <f t="shared" si="45"/>
        <v>#VALUE!</v>
      </c>
      <c r="M151" s="22" t="e">
        <f t="shared" si="40"/>
        <v>#VALUE!</v>
      </c>
      <c r="N151" s="22" t="e">
        <f>VLOOKUP(M151,'2-SNR-Chan Cap vs Range'!$V$9:$Y$23,5)</f>
        <v>#VALUE!</v>
      </c>
      <c r="O151" s="22" t="e">
        <f>SUM(N$137:N151)/$A151</f>
        <v>#VALUE!</v>
      </c>
      <c r="P151" s="99" t="e">
        <f t="shared" si="41"/>
        <v>#VALUE!</v>
      </c>
    </row>
    <row r="152" spans="1:16">
      <c r="A152">
        <f t="shared" si="42"/>
        <v>16</v>
      </c>
      <c r="B152" s="22" t="e">
        <f t="shared" si="43"/>
        <v>#VALUE!</v>
      </c>
      <c r="C152" s="22" t="e">
        <f t="shared" si="36"/>
        <v>#VALUE!</v>
      </c>
      <c r="D152" s="22" t="e">
        <f>VLOOKUP(C152,'2-SNR-Chan Cap vs Range'!$V$9:$Y$23,5)</f>
        <v>#VALUE!</v>
      </c>
      <c r="E152" s="22" t="e">
        <f>SUM(D$137:D152)/$A152</f>
        <v>#VALUE!</v>
      </c>
      <c r="F152" s="99" t="e">
        <f t="shared" si="37"/>
        <v>#VALUE!</v>
      </c>
      <c r="G152" s="22" t="e">
        <f t="shared" si="44"/>
        <v>#VALUE!</v>
      </c>
      <c r="H152" s="22" t="e">
        <f t="shared" si="38"/>
        <v>#VALUE!</v>
      </c>
      <c r="I152" s="22" t="e">
        <f>VLOOKUP(H152,'2-SNR-Chan Cap vs Range'!$V$9:$Y$23,5)</f>
        <v>#VALUE!</v>
      </c>
      <c r="J152" s="22" t="e">
        <f>SUM(I$137:I152)/$A152</f>
        <v>#VALUE!</v>
      </c>
      <c r="K152" s="99" t="e">
        <f t="shared" si="39"/>
        <v>#VALUE!</v>
      </c>
      <c r="L152" s="22" t="e">
        <f t="shared" si="45"/>
        <v>#VALUE!</v>
      </c>
      <c r="M152" s="22" t="e">
        <f t="shared" si="40"/>
        <v>#VALUE!</v>
      </c>
      <c r="N152" s="22" t="e">
        <f>VLOOKUP(M152,'2-SNR-Chan Cap vs Range'!$V$9:$Y$23,5)</f>
        <v>#VALUE!</v>
      </c>
      <c r="O152" s="22" t="e">
        <f>SUM(N$137:N152)/$A152</f>
        <v>#VALUE!</v>
      </c>
      <c r="P152" s="99" t="e">
        <f t="shared" si="41"/>
        <v>#VALUE!</v>
      </c>
    </row>
    <row r="153" spans="1:16">
      <c r="A153">
        <f t="shared" si="42"/>
        <v>17</v>
      </c>
      <c r="B153" s="22" t="e">
        <f t="shared" si="43"/>
        <v>#VALUE!</v>
      </c>
      <c r="C153" s="22" t="e">
        <f t="shared" si="36"/>
        <v>#VALUE!</v>
      </c>
      <c r="D153" s="22" t="e">
        <f>VLOOKUP(C153,'2-SNR-Chan Cap vs Range'!$V$9:$Y$23,5)</f>
        <v>#VALUE!</v>
      </c>
      <c r="E153" s="22" t="e">
        <f>SUM(D$137:D153)/$A153</f>
        <v>#VALUE!</v>
      </c>
      <c r="F153" s="99" t="e">
        <f t="shared" si="37"/>
        <v>#VALUE!</v>
      </c>
      <c r="G153" s="22" t="e">
        <f t="shared" si="44"/>
        <v>#VALUE!</v>
      </c>
      <c r="H153" s="22" t="e">
        <f t="shared" si="38"/>
        <v>#VALUE!</v>
      </c>
      <c r="I153" s="22" t="e">
        <f>VLOOKUP(H153,'2-SNR-Chan Cap vs Range'!$V$9:$Y$23,5)</f>
        <v>#VALUE!</v>
      </c>
      <c r="J153" s="22" t="e">
        <f>SUM(I$137:I153)/$A153</f>
        <v>#VALUE!</v>
      </c>
      <c r="K153" s="99" t="e">
        <f t="shared" si="39"/>
        <v>#VALUE!</v>
      </c>
      <c r="L153" s="22" t="e">
        <f t="shared" si="45"/>
        <v>#VALUE!</v>
      </c>
      <c r="M153" s="22" t="e">
        <f t="shared" si="40"/>
        <v>#VALUE!</v>
      </c>
      <c r="N153" s="22" t="e">
        <f>VLOOKUP(M153,'2-SNR-Chan Cap vs Range'!$V$9:$Y$23,5)</f>
        <v>#VALUE!</v>
      </c>
      <c r="O153" s="22" t="e">
        <f>SUM(N$137:N153)/$A153</f>
        <v>#VALUE!</v>
      </c>
      <c r="P153" s="99" t="e">
        <f t="shared" si="41"/>
        <v>#VALUE!</v>
      </c>
    </row>
    <row r="154" spans="1:16">
      <c r="A154">
        <f t="shared" si="42"/>
        <v>18</v>
      </c>
      <c r="B154" s="22" t="e">
        <f t="shared" si="43"/>
        <v>#VALUE!</v>
      </c>
      <c r="C154" s="22" t="e">
        <f t="shared" si="36"/>
        <v>#VALUE!</v>
      </c>
      <c r="D154" s="22" t="e">
        <f>VLOOKUP(C154,'2-SNR-Chan Cap vs Range'!$V$9:$Y$23,5)</f>
        <v>#VALUE!</v>
      </c>
      <c r="E154" s="22" t="e">
        <f>SUM(D$137:D154)/$A154</f>
        <v>#VALUE!</v>
      </c>
      <c r="F154" s="99" t="e">
        <f t="shared" si="37"/>
        <v>#VALUE!</v>
      </c>
      <c r="G154" s="22" t="e">
        <f t="shared" si="44"/>
        <v>#VALUE!</v>
      </c>
      <c r="H154" s="22" t="e">
        <f t="shared" si="38"/>
        <v>#VALUE!</v>
      </c>
      <c r="I154" s="22" t="e">
        <f>VLOOKUP(H154,'2-SNR-Chan Cap vs Range'!$V$9:$Y$23,5)</f>
        <v>#VALUE!</v>
      </c>
      <c r="J154" s="22" t="e">
        <f>SUM(I$137:I154)/$A154</f>
        <v>#VALUE!</v>
      </c>
      <c r="K154" s="99" t="e">
        <f t="shared" si="39"/>
        <v>#VALUE!</v>
      </c>
      <c r="L154" s="22" t="e">
        <f t="shared" si="45"/>
        <v>#VALUE!</v>
      </c>
      <c r="M154" s="22" t="e">
        <f t="shared" si="40"/>
        <v>#VALUE!</v>
      </c>
      <c r="N154" s="22" t="e">
        <f>VLOOKUP(M154,'2-SNR-Chan Cap vs Range'!$V$9:$Y$23,5)</f>
        <v>#VALUE!</v>
      </c>
      <c r="O154" s="22" t="e">
        <f>SUM(N$137:N154)/$A154</f>
        <v>#VALUE!</v>
      </c>
      <c r="P154" s="99" t="e">
        <f t="shared" si="41"/>
        <v>#VALUE!</v>
      </c>
    </row>
    <row r="155" spans="1:16">
      <c r="A155">
        <f t="shared" si="42"/>
        <v>19</v>
      </c>
      <c r="B155" s="22" t="e">
        <f t="shared" si="43"/>
        <v>#VALUE!</v>
      </c>
      <c r="C155" s="22" t="e">
        <f t="shared" si="36"/>
        <v>#VALUE!</v>
      </c>
      <c r="D155" s="22" t="e">
        <f>VLOOKUP(C155,'2-SNR-Chan Cap vs Range'!$V$9:$Y$23,5)</f>
        <v>#VALUE!</v>
      </c>
      <c r="E155" s="22" t="e">
        <f>SUM(D$137:D155)/$A155</f>
        <v>#VALUE!</v>
      </c>
      <c r="F155" s="99" t="e">
        <f t="shared" si="37"/>
        <v>#VALUE!</v>
      </c>
      <c r="G155" s="22" t="e">
        <f t="shared" si="44"/>
        <v>#VALUE!</v>
      </c>
      <c r="H155" s="22" t="e">
        <f t="shared" si="38"/>
        <v>#VALUE!</v>
      </c>
      <c r="I155" s="22" t="e">
        <f>VLOOKUP(H155,'2-SNR-Chan Cap vs Range'!$V$9:$Y$23,5)</f>
        <v>#VALUE!</v>
      </c>
      <c r="J155" s="22" t="e">
        <f>SUM(I$137:I155)/$A155</f>
        <v>#VALUE!</v>
      </c>
      <c r="K155" s="99" t="e">
        <f t="shared" si="39"/>
        <v>#VALUE!</v>
      </c>
      <c r="L155" s="22" t="e">
        <f t="shared" si="45"/>
        <v>#VALUE!</v>
      </c>
      <c r="M155" s="22" t="e">
        <f t="shared" si="40"/>
        <v>#VALUE!</v>
      </c>
      <c r="N155" s="22" t="e">
        <f>VLOOKUP(M155,'2-SNR-Chan Cap vs Range'!$V$9:$Y$23,5)</f>
        <v>#VALUE!</v>
      </c>
      <c r="O155" s="22" t="e">
        <f>SUM(N$137:N155)/$A155</f>
        <v>#VALUE!</v>
      </c>
      <c r="P155" s="99" t="e">
        <f t="shared" si="41"/>
        <v>#VALUE!</v>
      </c>
    </row>
    <row r="156" spans="1:16">
      <c r="A156">
        <f t="shared" si="42"/>
        <v>20</v>
      </c>
      <c r="B156" s="22" t="e">
        <f t="shared" si="43"/>
        <v>#VALUE!</v>
      </c>
      <c r="C156" s="22" t="e">
        <f t="shared" si="36"/>
        <v>#VALUE!</v>
      </c>
      <c r="D156" s="22" t="e">
        <f>VLOOKUP(C156,'2-SNR-Chan Cap vs Range'!$V$9:$Y$23,5)</f>
        <v>#VALUE!</v>
      </c>
      <c r="E156" s="22" t="e">
        <f>SUM(D$137:D156)/$A156</f>
        <v>#VALUE!</v>
      </c>
      <c r="F156" s="99" t="e">
        <f t="shared" si="37"/>
        <v>#VALUE!</v>
      </c>
      <c r="G156" s="22" t="e">
        <f t="shared" si="44"/>
        <v>#VALUE!</v>
      </c>
      <c r="H156" s="22" t="e">
        <f t="shared" si="38"/>
        <v>#VALUE!</v>
      </c>
      <c r="I156" s="22" t="e">
        <f>VLOOKUP(H156,'2-SNR-Chan Cap vs Range'!$V$9:$Y$23,5)</f>
        <v>#VALUE!</v>
      </c>
      <c r="J156" s="22" t="e">
        <f>SUM(I$137:I156)/$A156</f>
        <v>#VALUE!</v>
      </c>
      <c r="K156" s="99" t="e">
        <f t="shared" si="39"/>
        <v>#VALUE!</v>
      </c>
      <c r="L156" s="22" t="e">
        <f t="shared" si="45"/>
        <v>#VALUE!</v>
      </c>
      <c r="M156" s="22" t="e">
        <f t="shared" si="40"/>
        <v>#VALUE!</v>
      </c>
      <c r="N156" s="22" t="e">
        <f>VLOOKUP(M156,'2-SNR-Chan Cap vs Range'!$V$9:$Y$23,5)</f>
        <v>#VALUE!</v>
      </c>
      <c r="O156" s="22" t="e">
        <f>SUM(N$137:N156)/$A156</f>
        <v>#VALUE!</v>
      </c>
      <c r="P156" s="99" t="e">
        <f t="shared" si="41"/>
        <v>#VALUE!</v>
      </c>
    </row>
    <row r="157" spans="1:16">
      <c r="A157">
        <f t="shared" si="42"/>
        <v>21</v>
      </c>
      <c r="B157" s="22" t="e">
        <f t="shared" si="43"/>
        <v>#VALUE!</v>
      </c>
      <c r="C157" s="22" t="e">
        <f t="shared" si="36"/>
        <v>#VALUE!</v>
      </c>
      <c r="D157" s="22" t="e">
        <f>VLOOKUP(C157,'2-SNR-Chan Cap vs Range'!$V$9:$Y$23,5)</f>
        <v>#VALUE!</v>
      </c>
      <c r="E157" s="22" t="e">
        <f>SUM(D$137:D157)/$A157</f>
        <v>#VALUE!</v>
      </c>
      <c r="F157" s="99" t="e">
        <f t="shared" si="37"/>
        <v>#VALUE!</v>
      </c>
      <c r="G157" s="22" t="e">
        <f t="shared" si="44"/>
        <v>#VALUE!</v>
      </c>
      <c r="H157" s="22" t="e">
        <f t="shared" si="38"/>
        <v>#VALUE!</v>
      </c>
      <c r="I157" s="22" t="e">
        <f>VLOOKUP(H157,'2-SNR-Chan Cap vs Range'!$V$9:$Y$23,5)</f>
        <v>#VALUE!</v>
      </c>
      <c r="J157" s="22" t="e">
        <f>SUM(I$137:I157)/$A157</f>
        <v>#VALUE!</v>
      </c>
      <c r="K157" s="99" t="e">
        <f t="shared" si="39"/>
        <v>#VALUE!</v>
      </c>
      <c r="L157" s="22" t="e">
        <f t="shared" si="45"/>
        <v>#VALUE!</v>
      </c>
      <c r="M157" s="22" t="e">
        <f t="shared" si="40"/>
        <v>#VALUE!</v>
      </c>
      <c r="N157" s="22" t="e">
        <f>VLOOKUP(M157,'2-SNR-Chan Cap vs Range'!$V$9:$Y$23,5)</f>
        <v>#VALUE!</v>
      </c>
      <c r="O157" s="22" t="e">
        <f>SUM(N$137:N157)/$A157</f>
        <v>#VALUE!</v>
      </c>
      <c r="P157" s="99" t="e">
        <f t="shared" si="41"/>
        <v>#VALUE!</v>
      </c>
    </row>
    <row r="158" spans="1:16">
      <c r="A158">
        <f t="shared" si="42"/>
        <v>22</v>
      </c>
      <c r="B158" s="22" t="e">
        <f t="shared" si="43"/>
        <v>#VALUE!</v>
      </c>
      <c r="C158" s="22" t="e">
        <f t="shared" si="36"/>
        <v>#VALUE!</v>
      </c>
      <c r="D158" s="22" t="e">
        <f>VLOOKUP(C158,'2-SNR-Chan Cap vs Range'!$V$9:$Y$23,5)</f>
        <v>#VALUE!</v>
      </c>
      <c r="E158" s="22" t="e">
        <f>SUM(D$137:D158)/$A158</f>
        <v>#VALUE!</v>
      </c>
      <c r="F158" s="99" t="e">
        <f t="shared" si="37"/>
        <v>#VALUE!</v>
      </c>
      <c r="G158" s="22" t="e">
        <f t="shared" si="44"/>
        <v>#VALUE!</v>
      </c>
      <c r="H158" s="22" t="e">
        <f t="shared" si="38"/>
        <v>#VALUE!</v>
      </c>
      <c r="I158" s="22" t="e">
        <f>VLOOKUP(H158,'2-SNR-Chan Cap vs Range'!$V$9:$Y$23,5)</f>
        <v>#VALUE!</v>
      </c>
      <c r="J158" s="22" t="e">
        <f>SUM(I$137:I158)/$A158</f>
        <v>#VALUE!</v>
      </c>
      <c r="K158" s="99" t="e">
        <f t="shared" si="39"/>
        <v>#VALUE!</v>
      </c>
      <c r="L158" s="22" t="e">
        <f t="shared" si="45"/>
        <v>#VALUE!</v>
      </c>
      <c r="M158" s="22" t="e">
        <f t="shared" si="40"/>
        <v>#VALUE!</v>
      </c>
      <c r="N158" s="22" t="e">
        <f>VLOOKUP(M158,'2-SNR-Chan Cap vs Range'!$V$9:$Y$23,5)</f>
        <v>#VALUE!</v>
      </c>
      <c r="O158" s="22" t="e">
        <f>SUM(N$137:N158)/$A158</f>
        <v>#VALUE!</v>
      </c>
      <c r="P158" s="99" t="e">
        <f t="shared" si="41"/>
        <v>#VALUE!</v>
      </c>
    </row>
    <row r="159" spans="1:16">
      <c r="A159">
        <f t="shared" si="42"/>
        <v>23</v>
      </c>
      <c r="B159" s="22" t="e">
        <f t="shared" si="43"/>
        <v>#VALUE!</v>
      </c>
      <c r="C159" s="22" t="e">
        <f t="shared" si="36"/>
        <v>#VALUE!</v>
      </c>
      <c r="D159" s="22" t="e">
        <f>VLOOKUP(C159,'2-SNR-Chan Cap vs Range'!$V$9:$Y$23,5)</f>
        <v>#VALUE!</v>
      </c>
      <c r="E159" s="22" t="e">
        <f>SUM(D$137:D159)/$A159</f>
        <v>#VALUE!</v>
      </c>
      <c r="F159" s="99" t="e">
        <f t="shared" si="37"/>
        <v>#VALUE!</v>
      </c>
      <c r="G159" s="22" t="e">
        <f t="shared" si="44"/>
        <v>#VALUE!</v>
      </c>
      <c r="H159" s="22" t="e">
        <f t="shared" si="38"/>
        <v>#VALUE!</v>
      </c>
      <c r="I159" s="22" t="e">
        <f>VLOOKUP(H159,'2-SNR-Chan Cap vs Range'!$V$9:$Y$23,5)</f>
        <v>#VALUE!</v>
      </c>
      <c r="J159" s="22" t="e">
        <f>SUM(I$137:I159)/$A159</f>
        <v>#VALUE!</v>
      </c>
      <c r="K159" s="99" t="e">
        <f t="shared" si="39"/>
        <v>#VALUE!</v>
      </c>
      <c r="L159" s="22" t="e">
        <f t="shared" si="45"/>
        <v>#VALUE!</v>
      </c>
      <c r="M159" s="22" t="e">
        <f t="shared" si="40"/>
        <v>#VALUE!</v>
      </c>
      <c r="N159" s="22" t="e">
        <f>VLOOKUP(M159,'2-SNR-Chan Cap vs Range'!$V$9:$Y$23,5)</f>
        <v>#VALUE!</v>
      </c>
      <c r="O159" s="22" t="e">
        <f>SUM(N$137:N159)/$A159</f>
        <v>#VALUE!</v>
      </c>
      <c r="P159" s="99" t="e">
        <f t="shared" si="41"/>
        <v>#VALUE!</v>
      </c>
    </row>
    <row r="160" spans="1:16">
      <c r="A160">
        <f t="shared" si="42"/>
        <v>24</v>
      </c>
      <c r="B160" s="22" t="e">
        <f t="shared" si="43"/>
        <v>#VALUE!</v>
      </c>
      <c r="C160" s="22" t="e">
        <f t="shared" si="36"/>
        <v>#VALUE!</v>
      </c>
      <c r="D160" s="22" t="e">
        <f>VLOOKUP(C160,'2-SNR-Chan Cap vs Range'!$V$9:$Y$23,5)</f>
        <v>#VALUE!</v>
      </c>
      <c r="E160" s="22" t="e">
        <f>SUM(D$137:D160)/$A160</f>
        <v>#VALUE!</v>
      </c>
      <c r="F160" s="99" t="e">
        <f t="shared" si="37"/>
        <v>#VALUE!</v>
      </c>
      <c r="G160" s="22" t="e">
        <f t="shared" si="44"/>
        <v>#VALUE!</v>
      </c>
      <c r="H160" s="22" t="e">
        <f t="shared" si="38"/>
        <v>#VALUE!</v>
      </c>
      <c r="I160" s="22" t="e">
        <f>VLOOKUP(H160,'2-SNR-Chan Cap vs Range'!$V$9:$Y$23,5)</f>
        <v>#VALUE!</v>
      </c>
      <c r="J160" s="22" t="e">
        <f>SUM(I$137:I160)/$A160</f>
        <v>#VALUE!</v>
      </c>
      <c r="K160" s="99" t="e">
        <f t="shared" si="39"/>
        <v>#VALUE!</v>
      </c>
      <c r="L160" s="22" t="e">
        <f t="shared" si="45"/>
        <v>#VALUE!</v>
      </c>
      <c r="M160" s="22" t="e">
        <f t="shared" si="40"/>
        <v>#VALUE!</v>
      </c>
      <c r="N160" s="22" t="e">
        <f>VLOOKUP(M160,'2-SNR-Chan Cap vs Range'!$V$9:$Y$23,5)</f>
        <v>#VALUE!</v>
      </c>
      <c r="O160" s="22" t="e">
        <f>SUM(N$137:N160)/$A160</f>
        <v>#VALUE!</v>
      </c>
      <c r="P160" s="99" t="e">
        <f t="shared" si="41"/>
        <v>#VALUE!</v>
      </c>
    </row>
    <row r="161" spans="1:21">
      <c r="A161">
        <f t="shared" si="42"/>
        <v>25</v>
      </c>
      <c r="B161" s="15" t="str">
        <f>B16</f>
        <v>n/a</v>
      </c>
      <c r="C161" s="22">
        <f>B5</f>
        <v>5.7</v>
      </c>
      <c r="D161" s="22" t="e">
        <f>VLOOKUP(C161,'2-SNR-Chan Cap vs Range'!$V$9:$Y$23,5)</f>
        <v>#REF!</v>
      </c>
      <c r="E161" s="22" t="e">
        <f>SUM(D$137:D161)/$A161</f>
        <v>#VALUE!</v>
      </c>
      <c r="F161" s="99" t="e">
        <f t="shared" si="37"/>
        <v>#VALUE!</v>
      </c>
      <c r="G161" s="15" t="str">
        <f>D16</f>
        <v>n/a</v>
      </c>
      <c r="H161" s="15">
        <f>B5</f>
        <v>5.7</v>
      </c>
      <c r="I161" s="22" t="e">
        <f>VLOOKUP(H161,'2-SNR-Chan Cap vs Range'!$V$9:$Y$23,5)</f>
        <v>#REF!</v>
      </c>
      <c r="J161" s="22" t="e">
        <f>SUM(I$137:I161)/$A161</f>
        <v>#VALUE!</v>
      </c>
      <c r="K161" s="99" t="e">
        <f t="shared" si="39"/>
        <v>#VALUE!</v>
      </c>
      <c r="L161" s="15" t="str">
        <f>F16</f>
        <v>n/a</v>
      </c>
      <c r="M161" s="22">
        <f>B5</f>
        <v>5.7</v>
      </c>
      <c r="N161" s="22" t="e">
        <f>VLOOKUP(M161,'2-SNR-Chan Cap vs Range'!$V$9:$Y$23,5)</f>
        <v>#REF!</v>
      </c>
      <c r="O161" s="22" t="e">
        <f>SUM(N$137:N161)/$A161</f>
        <v>#VALUE!</v>
      </c>
      <c r="P161" s="99" t="e">
        <f t="shared" si="41"/>
        <v>#VALUE!</v>
      </c>
    </row>
    <row r="164" spans="1:21" ht="30">
      <c r="A164" s="126" t="s">
        <v>98</v>
      </c>
      <c r="B164" s="3" t="s">
        <v>60</v>
      </c>
      <c r="C164" s="133" t="str">
        <f>B42</f>
        <v>n/a</v>
      </c>
      <c r="D164" s="128" t="s">
        <v>114</v>
      </c>
      <c r="E164" s="134"/>
      <c r="F164" s="134"/>
      <c r="G164" s="3" t="s">
        <v>59</v>
      </c>
      <c r="H164" s="133" t="str">
        <f>C42</f>
        <v>n/a</v>
      </c>
      <c r="I164" s="128" t="s">
        <v>114</v>
      </c>
      <c r="J164" s="134"/>
      <c r="K164" s="134"/>
      <c r="L164" s="63" t="s">
        <v>36</v>
      </c>
      <c r="M164" s="133" t="str">
        <f>D42</f>
        <v>n/a</v>
      </c>
      <c r="N164" s="128" t="s">
        <v>114</v>
      </c>
      <c r="O164" s="134"/>
      <c r="P164" s="135"/>
      <c r="Q164" s="63" t="s">
        <v>75</v>
      </c>
      <c r="R164" s="133" t="str">
        <f>E42</f>
        <v>n/a</v>
      </c>
      <c r="S164" s="128" t="s">
        <v>114</v>
      </c>
      <c r="T164" s="134"/>
      <c r="U164" s="135"/>
    </row>
    <row r="165" spans="1:21" ht="45">
      <c r="B165" s="3" t="s">
        <v>95</v>
      </c>
      <c r="C165" s="3" t="s">
        <v>96</v>
      </c>
      <c r="D165" s="3" t="s">
        <v>6</v>
      </c>
      <c r="E165" s="125" t="s">
        <v>113</v>
      </c>
      <c r="F165" s="3" t="s">
        <v>97</v>
      </c>
      <c r="G165" s="3" t="s">
        <v>95</v>
      </c>
      <c r="H165" s="3" t="s">
        <v>96</v>
      </c>
      <c r="I165" s="3" t="s">
        <v>6</v>
      </c>
      <c r="J165" s="125" t="s">
        <v>113</v>
      </c>
      <c r="K165" s="3" t="s">
        <v>97</v>
      </c>
      <c r="L165" s="3" t="s">
        <v>95</v>
      </c>
      <c r="M165" s="3" t="s">
        <v>96</v>
      </c>
      <c r="N165" s="3" t="s">
        <v>6</v>
      </c>
      <c r="O165" s="125" t="s">
        <v>113</v>
      </c>
      <c r="P165" s="3" t="s">
        <v>97</v>
      </c>
      <c r="Q165" s="3" t="s">
        <v>95</v>
      </c>
      <c r="R165" s="3" t="s">
        <v>96</v>
      </c>
      <c r="S165" s="3" t="s">
        <v>6</v>
      </c>
      <c r="T165" s="125" t="s">
        <v>113</v>
      </c>
      <c r="U165" s="3" t="s">
        <v>97</v>
      </c>
    </row>
    <row r="166" spans="1:21">
      <c r="A166">
        <v>0</v>
      </c>
      <c r="B166" s="23">
        <v>0.05</v>
      </c>
      <c r="C166" s="22" t="e">
        <f>C$191+C$164*LOG10(B$191/B166)</f>
        <v>#VALUE!</v>
      </c>
      <c r="D166" s="22" t="e">
        <f>VLOOKUP(C166,'2-SNR-Chan Cap vs Range'!$V$9:$Y$23,5)</f>
        <v>#VALUE!</v>
      </c>
      <c r="E166" s="22" t="e">
        <f>D166</f>
        <v>#VALUE!</v>
      </c>
      <c r="F166" s="99" t="e">
        <f>B166^2/B$191^2</f>
        <v>#VALUE!</v>
      </c>
      <c r="G166" s="23">
        <f>B166</f>
        <v>0.05</v>
      </c>
      <c r="H166" s="22" t="e">
        <f>H$191+H$164*LOG10(G$191/G166)</f>
        <v>#VALUE!</v>
      </c>
      <c r="I166" s="22" t="e">
        <f>VLOOKUP(H166,'2-SNR-Chan Cap vs Range'!$V$9:$Y$23,5)</f>
        <v>#VALUE!</v>
      </c>
      <c r="J166" s="22" t="e">
        <f>I166</f>
        <v>#VALUE!</v>
      </c>
      <c r="K166" s="99" t="e">
        <f>G166^2/G$191^2</f>
        <v>#VALUE!</v>
      </c>
      <c r="L166" s="23">
        <f>G166</f>
        <v>0.05</v>
      </c>
      <c r="M166" s="22" t="e">
        <f>M$191+M$164*LOG10(L$191/L166)</f>
        <v>#VALUE!</v>
      </c>
      <c r="N166" s="22" t="e">
        <f>VLOOKUP(M166,'2-SNR-Chan Cap vs Range'!$V$9:$Y$23,5)</f>
        <v>#VALUE!</v>
      </c>
      <c r="O166" s="22" t="e">
        <f>N166</f>
        <v>#VALUE!</v>
      </c>
      <c r="P166" s="99" t="e">
        <f>L166^2/L$191^2</f>
        <v>#VALUE!</v>
      </c>
      <c r="Q166" s="23">
        <f>L166</f>
        <v>0.05</v>
      </c>
      <c r="R166" s="22" t="e">
        <f>R$191+R$164*LOG10(Q$191/Q166)</f>
        <v>#VALUE!</v>
      </c>
      <c r="S166" s="22" t="e">
        <f>VLOOKUP(R166,'2-SNR-Chan Cap vs Range'!$V$9:$Y$23,5)</f>
        <v>#VALUE!</v>
      </c>
      <c r="T166" s="22" t="e">
        <f>S166</f>
        <v>#VALUE!</v>
      </c>
      <c r="U166" s="99" t="e">
        <f>Q166^2/Q$191^2</f>
        <v>#VALUE!</v>
      </c>
    </row>
    <row r="167" spans="1:21">
      <c r="A167">
        <f>A166+1</f>
        <v>1</v>
      </c>
      <c r="B167" s="22" t="e">
        <f>(B166^2+(B$191^2-B$166^2)/25)^0.5</f>
        <v>#VALUE!</v>
      </c>
      <c r="C167" s="22" t="e">
        <f t="shared" ref="C167:C190" si="46">C$191+C$164*LOG10(B$191/B167)</f>
        <v>#VALUE!</v>
      </c>
      <c r="D167" s="22" t="e">
        <f>VLOOKUP(C167,'2-SNR-Chan Cap vs Range'!$V$9:$Y$23,5)</f>
        <v>#VALUE!</v>
      </c>
      <c r="E167" s="22" t="e">
        <f>SUM(D$167:D167)/$A167</f>
        <v>#VALUE!</v>
      </c>
      <c r="F167" s="99" t="e">
        <f t="shared" ref="F167:F191" si="47">B167^2/B$191^2</f>
        <v>#VALUE!</v>
      </c>
      <c r="G167" s="22" t="e">
        <f>(G166^2+(G$191^2-G$166^2)/25)^0.5</f>
        <v>#VALUE!</v>
      </c>
      <c r="H167" s="22" t="e">
        <f t="shared" ref="H167:H190" si="48">H$191+H$164*LOG10(G$191/G167)</f>
        <v>#VALUE!</v>
      </c>
      <c r="I167" s="22" t="e">
        <f>VLOOKUP(H167,'2-SNR-Chan Cap vs Range'!$V$9:$Y$23,5)</f>
        <v>#VALUE!</v>
      </c>
      <c r="J167" s="22" t="e">
        <f>SUM(I$167:I167)/$A167</f>
        <v>#VALUE!</v>
      </c>
      <c r="K167" s="99" t="e">
        <f t="shared" ref="K167:K191" si="49">G167^2/G$191^2</f>
        <v>#VALUE!</v>
      </c>
      <c r="L167" s="22" t="e">
        <f>(L166^2+(L$191^2-L$166^2)/25)^0.5</f>
        <v>#VALUE!</v>
      </c>
      <c r="M167" s="22" t="e">
        <f t="shared" ref="M167:M190" si="50">M$191+M$164*LOG10(L$191/L167)</f>
        <v>#VALUE!</v>
      </c>
      <c r="N167" s="22" t="e">
        <f>VLOOKUP(M167,'2-SNR-Chan Cap vs Range'!$V$9:$Y$23,5)</f>
        <v>#VALUE!</v>
      </c>
      <c r="O167" s="22" t="e">
        <f>SUM(N$167:N167)/$A167</f>
        <v>#VALUE!</v>
      </c>
      <c r="P167" s="99" t="e">
        <f t="shared" ref="P167:P191" si="51">L167^2/L$191^2</f>
        <v>#VALUE!</v>
      </c>
      <c r="Q167" s="22" t="e">
        <f>(Q166^2+(Q$191^2-Q$166^2)/25)^0.5</f>
        <v>#VALUE!</v>
      </c>
      <c r="R167" s="22" t="e">
        <f t="shared" ref="R167:R190" si="52">R$191+R$164*LOG10(Q$191/Q167)</f>
        <v>#VALUE!</v>
      </c>
      <c r="S167" s="22" t="e">
        <f>VLOOKUP(R167,'2-SNR-Chan Cap vs Range'!$V$9:$Y$23,5)</f>
        <v>#VALUE!</v>
      </c>
      <c r="T167" s="22" t="e">
        <f>SUM(S$167:S167)/$A167</f>
        <v>#VALUE!</v>
      </c>
      <c r="U167" s="99" t="e">
        <f t="shared" ref="U167:U191" si="53">Q167^2/Q$191^2</f>
        <v>#VALUE!</v>
      </c>
    </row>
    <row r="168" spans="1:21">
      <c r="A168">
        <f t="shared" ref="A168:A191" si="54">A167+1</f>
        <v>2</v>
      </c>
      <c r="B168" s="22" t="e">
        <f t="shared" ref="B168:B190" si="55">(B167^2+(B$191^2-B$166^2)/25)^0.5</f>
        <v>#VALUE!</v>
      </c>
      <c r="C168" s="22" t="e">
        <f t="shared" si="46"/>
        <v>#VALUE!</v>
      </c>
      <c r="D168" s="22" t="e">
        <f>VLOOKUP(C168,'2-SNR-Chan Cap vs Range'!$V$9:$Y$23,5)</f>
        <v>#VALUE!</v>
      </c>
      <c r="E168" s="22" t="e">
        <f>SUM(D$167:D168)/$A168</f>
        <v>#VALUE!</v>
      </c>
      <c r="F168" s="99" t="e">
        <f t="shared" si="47"/>
        <v>#VALUE!</v>
      </c>
      <c r="G168" s="22" t="e">
        <f t="shared" ref="G168:G190" si="56">(G167^2+(G$191^2-G$166^2)/25)^0.5</f>
        <v>#VALUE!</v>
      </c>
      <c r="H168" s="22" t="e">
        <f t="shared" si="48"/>
        <v>#VALUE!</v>
      </c>
      <c r="I168" s="22" t="e">
        <f>VLOOKUP(H168,'2-SNR-Chan Cap vs Range'!$V$9:$Y$23,5)</f>
        <v>#VALUE!</v>
      </c>
      <c r="J168" s="22" t="e">
        <f>SUM(I$167:I168)/$A168</f>
        <v>#VALUE!</v>
      </c>
      <c r="K168" s="99" t="e">
        <f t="shared" si="49"/>
        <v>#VALUE!</v>
      </c>
      <c r="L168" s="22" t="e">
        <f t="shared" ref="L168:L190" si="57">(L167^2+(L$191^2-L$166^2)/25)^0.5</f>
        <v>#VALUE!</v>
      </c>
      <c r="M168" s="22" t="e">
        <f t="shared" si="50"/>
        <v>#VALUE!</v>
      </c>
      <c r="N168" s="22" t="e">
        <f>VLOOKUP(M168,'2-SNR-Chan Cap vs Range'!$V$9:$Y$23,5)</f>
        <v>#VALUE!</v>
      </c>
      <c r="O168" s="22" t="e">
        <f>SUM(N$167:N168)/$A168</f>
        <v>#VALUE!</v>
      </c>
      <c r="P168" s="99" t="e">
        <f t="shared" si="51"/>
        <v>#VALUE!</v>
      </c>
      <c r="Q168" s="22" t="e">
        <f t="shared" ref="Q168:Q190" si="58">(Q167^2+(Q$191^2-Q$166^2)/25)^0.5</f>
        <v>#VALUE!</v>
      </c>
      <c r="R168" s="22" t="e">
        <f t="shared" si="52"/>
        <v>#VALUE!</v>
      </c>
      <c r="S168" s="22" t="e">
        <f>VLOOKUP(R168,'2-SNR-Chan Cap vs Range'!$V$9:$Y$23,5)</f>
        <v>#VALUE!</v>
      </c>
      <c r="T168" s="22" t="e">
        <f>SUM(S$167:S168)/$A168</f>
        <v>#VALUE!</v>
      </c>
      <c r="U168" s="99" t="e">
        <f t="shared" si="53"/>
        <v>#VALUE!</v>
      </c>
    </row>
    <row r="169" spans="1:21">
      <c r="A169">
        <f t="shared" si="54"/>
        <v>3</v>
      </c>
      <c r="B169" s="22" t="e">
        <f t="shared" si="55"/>
        <v>#VALUE!</v>
      </c>
      <c r="C169" s="22" t="e">
        <f t="shared" si="46"/>
        <v>#VALUE!</v>
      </c>
      <c r="D169" s="22" t="e">
        <f>VLOOKUP(C169,'2-SNR-Chan Cap vs Range'!$V$9:$Y$23,5)</f>
        <v>#VALUE!</v>
      </c>
      <c r="E169" s="22" t="e">
        <f>SUM(D$167:D169)/$A169</f>
        <v>#VALUE!</v>
      </c>
      <c r="F169" s="99" t="e">
        <f t="shared" si="47"/>
        <v>#VALUE!</v>
      </c>
      <c r="G169" s="22" t="e">
        <f t="shared" si="56"/>
        <v>#VALUE!</v>
      </c>
      <c r="H169" s="22" t="e">
        <f t="shared" si="48"/>
        <v>#VALUE!</v>
      </c>
      <c r="I169" s="22" t="e">
        <f>VLOOKUP(H169,'2-SNR-Chan Cap vs Range'!$V$9:$Y$23,5)</f>
        <v>#VALUE!</v>
      </c>
      <c r="J169" s="22" t="e">
        <f>SUM(I$167:I169)/$A169</f>
        <v>#VALUE!</v>
      </c>
      <c r="K169" s="99" t="e">
        <f t="shared" si="49"/>
        <v>#VALUE!</v>
      </c>
      <c r="L169" s="22" t="e">
        <f t="shared" si="57"/>
        <v>#VALUE!</v>
      </c>
      <c r="M169" s="22" t="e">
        <f t="shared" si="50"/>
        <v>#VALUE!</v>
      </c>
      <c r="N169" s="22" t="e">
        <f>VLOOKUP(M169,'2-SNR-Chan Cap vs Range'!$V$9:$Y$23,5)</f>
        <v>#VALUE!</v>
      </c>
      <c r="O169" s="22" t="e">
        <f>SUM(N$167:N169)/$A169</f>
        <v>#VALUE!</v>
      </c>
      <c r="P169" s="99" t="e">
        <f t="shared" si="51"/>
        <v>#VALUE!</v>
      </c>
      <c r="Q169" s="22" t="e">
        <f t="shared" si="58"/>
        <v>#VALUE!</v>
      </c>
      <c r="R169" s="22" t="e">
        <f t="shared" si="52"/>
        <v>#VALUE!</v>
      </c>
      <c r="S169" s="22" t="e">
        <f>VLOOKUP(R169,'2-SNR-Chan Cap vs Range'!$V$9:$Y$23,5)</f>
        <v>#VALUE!</v>
      </c>
      <c r="T169" s="22" t="e">
        <f>SUM(S$167:S169)/$A169</f>
        <v>#VALUE!</v>
      </c>
      <c r="U169" s="99" t="e">
        <f t="shared" si="53"/>
        <v>#VALUE!</v>
      </c>
    </row>
    <row r="170" spans="1:21">
      <c r="A170">
        <f t="shared" si="54"/>
        <v>4</v>
      </c>
      <c r="B170" s="22" t="e">
        <f t="shared" si="55"/>
        <v>#VALUE!</v>
      </c>
      <c r="C170" s="22" t="e">
        <f t="shared" si="46"/>
        <v>#VALUE!</v>
      </c>
      <c r="D170" s="22" t="e">
        <f>VLOOKUP(C170,'2-SNR-Chan Cap vs Range'!$V$9:$Y$23,5)</f>
        <v>#VALUE!</v>
      </c>
      <c r="E170" s="22" t="e">
        <f>SUM(D$167:D170)/$A170</f>
        <v>#VALUE!</v>
      </c>
      <c r="F170" s="99" t="e">
        <f t="shared" si="47"/>
        <v>#VALUE!</v>
      </c>
      <c r="G170" s="22" t="e">
        <f t="shared" si="56"/>
        <v>#VALUE!</v>
      </c>
      <c r="H170" s="22" t="e">
        <f t="shared" si="48"/>
        <v>#VALUE!</v>
      </c>
      <c r="I170" s="22" t="e">
        <f>VLOOKUP(H170,'2-SNR-Chan Cap vs Range'!$V$9:$Y$23,5)</f>
        <v>#VALUE!</v>
      </c>
      <c r="J170" s="22" t="e">
        <f>SUM(I$167:I170)/$A170</f>
        <v>#VALUE!</v>
      </c>
      <c r="K170" s="99" t="e">
        <f t="shared" si="49"/>
        <v>#VALUE!</v>
      </c>
      <c r="L170" s="22" t="e">
        <f t="shared" si="57"/>
        <v>#VALUE!</v>
      </c>
      <c r="M170" s="22" t="e">
        <f t="shared" si="50"/>
        <v>#VALUE!</v>
      </c>
      <c r="N170" s="22" t="e">
        <f>VLOOKUP(M170,'2-SNR-Chan Cap vs Range'!$V$9:$Y$23,5)</f>
        <v>#VALUE!</v>
      </c>
      <c r="O170" s="22" t="e">
        <f>SUM(N$167:N170)/$A170</f>
        <v>#VALUE!</v>
      </c>
      <c r="P170" s="99" t="e">
        <f t="shared" si="51"/>
        <v>#VALUE!</v>
      </c>
      <c r="Q170" s="22" t="e">
        <f t="shared" si="58"/>
        <v>#VALUE!</v>
      </c>
      <c r="R170" s="22" t="e">
        <f t="shared" si="52"/>
        <v>#VALUE!</v>
      </c>
      <c r="S170" s="22" t="e">
        <f>VLOOKUP(R170,'2-SNR-Chan Cap vs Range'!$V$9:$Y$23,5)</f>
        <v>#VALUE!</v>
      </c>
      <c r="T170" s="22" t="e">
        <f>SUM(S$167:S170)/$A170</f>
        <v>#VALUE!</v>
      </c>
      <c r="U170" s="99" t="e">
        <f t="shared" si="53"/>
        <v>#VALUE!</v>
      </c>
    </row>
    <row r="171" spans="1:21">
      <c r="A171">
        <f t="shared" si="54"/>
        <v>5</v>
      </c>
      <c r="B171" s="22" t="e">
        <f t="shared" si="55"/>
        <v>#VALUE!</v>
      </c>
      <c r="C171" s="22" t="e">
        <f t="shared" si="46"/>
        <v>#VALUE!</v>
      </c>
      <c r="D171" s="22" t="e">
        <f>VLOOKUP(C171,'2-SNR-Chan Cap vs Range'!$V$9:$Y$23,5)</f>
        <v>#VALUE!</v>
      </c>
      <c r="E171" s="22" t="e">
        <f>SUM(D$167:D171)/$A171</f>
        <v>#VALUE!</v>
      </c>
      <c r="F171" s="99" t="e">
        <f t="shared" si="47"/>
        <v>#VALUE!</v>
      </c>
      <c r="G171" s="22" t="e">
        <f t="shared" si="56"/>
        <v>#VALUE!</v>
      </c>
      <c r="H171" s="22" t="e">
        <f t="shared" si="48"/>
        <v>#VALUE!</v>
      </c>
      <c r="I171" s="22" t="e">
        <f>VLOOKUP(H171,'2-SNR-Chan Cap vs Range'!$V$9:$Y$23,5)</f>
        <v>#VALUE!</v>
      </c>
      <c r="J171" s="22" t="e">
        <f>SUM(I$167:I171)/$A171</f>
        <v>#VALUE!</v>
      </c>
      <c r="K171" s="99" t="e">
        <f t="shared" si="49"/>
        <v>#VALUE!</v>
      </c>
      <c r="L171" s="22" t="e">
        <f t="shared" si="57"/>
        <v>#VALUE!</v>
      </c>
      <c r="M171" s="22" t="e">
        <f t="shared" si="50"/>
        <v>#VALUE!</v>
      </c>
      <c r="N171" s="22" t="e">
        <f>VLOOKUP(M171,'2-SNR-Chan Cap vs Range'!$V$9:$Y$23,5)</f>
        <v>#VALUE!</v>
      </c>
      <c r="O171" s="22" t="e">
        <f>SUM(N$167:N171)/$A171</f>
        <v>#VALUE!</v>
      </c>
      <c r="P171" s="99" t="e">
        <f t="shared" si="51"/>
        <v>#VALUE!</v>
      </c>
      <c r="Q171" s="22" t="e">
        <f t="shared" si="58"/>
        <v>#VALUE!</v>
      </c>
      <c r="R171" s="22" t="e">
        <f t="shared" si="52"/>
        <v>#VALUE!</v>
      </c>
      <c r="S171" s="22" t="e">
        <f>VLOOKUP(R171,'2-SNR-Chan Cap vs Range'!$V$9:$Y$23,5)</f>
        <v>#VALUE!</v>
      </c>
      <c r="T171" s="22" t="e">
        <f>SUM(S$167:S171)/$A171</f>
        <v>#VALUE!</v>
      </c>
      <c r="U171" s="99" t="e">
        <f t="shared" si="53"/>
        <v>#VALUE!</v>
      </c>
    </row>
    <row r="172" spans="1:21">
      <c r="A172">
        <f t="shared" si="54"/>
        <v>6</v>
      </c>
      <c r="B172" s="22" t="e">
        <f t="shared" si="55"/>
        <v>#VALUE!</v>
      </c>
      <c r="C172" s="22" t="e">
        <f t="shared" si="46"/>
        <v>#VALUE!</v>
      </c>
      <c r="D172" s="22" t="e">
        <f>VLOOKUP(C172,'2-SNR-Chan Cap vs Range'!$V$9:$Y$23,5)</f>
        <v>#VALUE!</v>
      </c>
      <c r="E172" s="22" t="e">
        <f>SUM(D$167:D172)/$A172</f>
        <v>#VALUE!</v>
      </c>
      <c r="F172" s="99" t="e">
        <f t="shared" si="47"/>
        <v>#VALUE!</v>
      </c>
      <c r="G172" s="22" t="e">
        <f t="shared" si="56"/>
        <v>#VALUE!</v>
      </c>
      <c r="H172" s="22" t="e">
        <f t="shared" si="48"/>
        <v>#VALUE!</v>
      </c>
      <c r="I172" s="22" t="e">
        <f>VLOOKUP(H172,'2-SNR-Chan Cap vs Range'!$V$9:$Y$23,5)</f>
        <v>#VALUE!</v>
      </c>
      <c r="J172" s="22" t="e">
        <f>SUM(I$167:I172)/$A172</f>
        <v>#VALUE!</v>
      </c>
      <c r="K172" s="99" t="e">
        <f t="shared" si="49"/>
        <v>#VALUE!</v>
      </c>
      <c r="L172" s="22" t="e">
        <f t="shared" si="57"/>
        <v>#VALUE!</v>
      </c>
      <c r="M172" s="22" t="e">
        <f t="shared" si="50"/>
        <v>#VALUE!</v>
      </c>
      <c r="N172" s="22" t="e">
        <f>VLOOKUP(M172,'2-SNR-Chan Cap vs Range'!$V$9:$Y$23,5)</f>
        <v>#VALUE!</v>
      </c>
      <c r="O172" s="22" t="e">
        <f>SUM(N$167:N172)/$A172</f>
        <v>#VALUE!</v>
      </c>
      <c r="P172" s="99" t="e">
        <f t="shared" si="51"/>
        <v>#VALUE!</v>
      </c>
      <c r="Q172" s="22" t="e">
        <f t="shared" si="58"/>
        <v>#VALUE!</v>
      </c>
      <c r="R172" s="22" t="e">
        <f t="shared" si="52"/>
        <v>#VALUE!</v>
      </c>
      <c r="S172" s="22" t="e">
        <f>VLOOKUP(R172,'2-SNR-Chan Cap vs Range'!$V$9:$Y$23,5)</f>
        <v>#VALUE!</v>
      </c>
      <c r="T172" s="22" t="e">
        <f>SUM(S$167:S172)/$A172</f>
        <v>#VALUE!</v>
      </c>
      <c r="U172" s="99" t="e">
        <f t="shared" si="53"/>
        <v>#VALUE!</v>
      </c>
    </row>
    <row r="173" spans="1:21">
      <c r="A173">
        <f t="shared" si="54"/>
        <v>7</v>
      </c>
      <c r="B173" s="22" t="e">
        <f t="shared" si="55"/>
        <v>#VALUE!</v>
      </c>
      <c r="C173" s="22" t="e">
        <f t="shared" si="46"/>
        <v>#VALUE!</v>
      </c>
      <c r="D173" s="22" t="e">
        <f>VLOOKUP(C173,'2-SNR-Chan Cap vs Range'!$V$9:$Y$23,5)</f>
        <v>#VALUE!</v>
      </c>
      <c r="E173" s="22" t="e">
        <f>SUM(D$167:D173)/$A173</f>
        <v>#VALUE!</v>
      </c>
      <c r="F173" s="99" t="e">
        <f t="shared" si="47"/>
        <v>#VALUE!</v>
      </c>
      <c r="G173" s="22" t="e">
        <f t="shared" si="56"/>
        <v>#VALUE!</v>
      </c>
      <c r="H173" s="22" t="e">
        <f t="shared" si="48"/>
        <v>#VALUE!</v>
      </c>
      <c r="I173" s="22" t="e">
        <f>VLOOKUP(H173,'2-SNR-Chan Cap vs Range'!$V$9:$Y$23,5)</f>
        <v>#VALUE!</v>
      </c>
      <c r="J173" s="22" t="e">
        <f>SUM(I$167:I173)/$A173</f>
        <v>#VALUE!</v>
      </c>
      <c r="K173" s="99" t="e">
        <f t="shared" si="49"/>
        <v>#VALUE!</v>
      </c>
      <c r="L173" s="22" t="e">
        <f t="shared" si="57"/>
        <v>#VALUE!</v>
      </c>
      <c r="M173" s="22" t="e">
        <f t="shared" si="50"/>
        <v>#VALUE!</v>
      </c>
      <c r="N173" s="22" t="e">
        <f>VLOOKUP(M173,'2-SNR-Chan Cap vs Range'!$V$9:$Y$23,5)</f>
        <v>#VALUE!</v>
      </c>
      <c r="O173" s="22" t="e">
        <f>SUM(N$167:N173)/$A173</f>
        <v>#VALUE!</v>
      </c>
      <c r="P173" s="99" t="e">
        <f t="shared" si="51"/>
        <v>#VALUE!</v>
      </c>
      <c r="Q173" s="22" t="e">
        <f t="shared" si="58"/>
        <v>#VALUE!</v>
      </c>
      <c r="R173" s="22" t="e">
        <f t="shared" si="52"/>
        <v>#VALUE!</v>
      </c>
      <c r="S173" s="22" t="e">
        <f>VLOOKUP(R173,'2-SNR-Chan Cap vs Range'!$V$9:$Y$23,5)</f>
        <v>#VALUE!</v>
      </c>
      <c r="T173" s="22" t="e">
        <f>SUM(S$167:S173)/$A173</f>
        <v>#VALUE!</v>
      </c>
      <c r="U173" s="99" t="e">
        <f t="shared" si="53"/>
        <v>#VALUE!</v>
      </c>
    </row>
    <row r="174" spans="1:21">
      <c r="A174">
        <f t="shared" si="54"/>
        <v>8</v>
      </c>
      <c r="B174" s="22" t="e">
        <f t="shared" si="55"/>
        <v>#VALUE!</v>
      </c>
      <c r="C174" s="22" t="e">
        <f t="shared" si="46"/>
        <v>#VALUE!</v>
      </c>
      <c r="D174" s="22" t="e">
        <f>VLOOKUP(C174,'2-SNR-Chan Cap vs Range'!$V$9:$Y$23,5)</f>
        <v>#VALUE!</v>
      </c>
      <c r="E174" s="22" t="e">
        <f>SUM(D$167:D174)/$A174</f>
        <v>#VALUE!</v>
      </c>
      <c r="F174" s="99" t="e">
        <f t="shared" si="47"/>
        <v>#VALUE!</v>
      </c>
      <c r="G174" s="22" t="e">
        <f t="shared" si="56"/>
        <v>#VALUE!</v>
      </c>
      <c r="H174" s="22" t="e">
        <f t="shared" si="48"/>
        <v>#VALUE!</v>
      </c>
      <c r="I174" s="22" t="e">
        <f>VLOOKUP(H174,'2-SNR-Chan Cap vs Range'!$V$9:$Y$23,5)</f>
        <v>#VALUE!</v>
      </c>
      <c r="J174" s="22" t="e">
        <f>SUM(I$167:I174)/$A174</f>
        <v>#VALUE!</v>
      </c>
      <c r="K174" s="99" t="e">
        <f t="shared" si="49"/>
        <v>#VALUE!</v>
      </c>
      <c r="L174" s="22" t="e">
        <f t="shared" si="57"/>
        <v>#VALUE!</v>
      </c>
      <c r="M174" s="22" t="e">
        <f t="shared" si="50"/>
        <v>#VALUE!</v>
      </c>
      <c r="N174" s="22" t="e">
        <f>VLOOKUP(M174,'2-SNR-Chan Cap vs Range'!$V$9:$Y$23,5)</f>
        <v>#VALUE!</v>
      </c>
      <c r="O174" s="22" t="e">
        <f>SUM(N$167:N174)/$A174</f>
        <v>#VALUE!</v>
      </c>
      <c r="P174" s="99" t="e">
        <f t="shared" si="51"/>
        <v>#VALUE!</v>
      </c>
      <c r="Q174" s="22" t="e">
        <f t="shared" si="58"/>
        <v>#VALUE!</v>
      </c>
      <c r="R174" s="22" t="e">
        <f t="shared" si="52"/>
        <v>#VALUE!</v>
      </c>
      <c r="S174" s="22" t="e">
        <f>VLOOKUP(R174,'2-SNR-Chan Cap vs Range'!$V$9:$Y$23,5)</f>
        <v>#VALUE!</v>
      </c>
      <c r="T174" s="22" t="e">
        <f>SUM(S$167:S174)/$A174</f>
        <v>#VALUE!</v>
      </c>
      <c r="U174" s="99" t="e">
        <f t="shared" si="53"/>
        <v>#VALUE!</v>
      </c>
    </row>
    <row r="175" spans="1:21">
      <c r="A175">
        <f t="shared" si="54"/>
        <v>9</v>
      </c>
      <c r="B175" s="22" t="e">
        <f t="shared" si="55"/>
        <v>#VALUE!</v>
      </c>
      <c r="C175" s="22" t="e">
        <f t="shared" si="46"/>
        <v>#VALUE!</v>
      </c>
      <c r="D175" s="22" t="e">
        <f>VLOOKUP(C175,'2-SNR-Chan Cap vs Range'!$V$9:$Y$23,5)</f>
        <v>#VALUE!</v>
      </c>
      <c r="E175" s="22" t="e">
        <f>SUM(D$167:D175)/$A175</f>
        <v>#VALUE!</v>
      </c>
      <c r="F175" s="99" t="e">
        <f t="shared" si="47"/>
        <v>#VALUE!</v>
      </c>
      <c r="G175" s="22" t="e">
        <f t="shared" si="56"/>
        <v>#VALUE!</v>
      </c>
      <c r="H175" s="22" t="e">
        <f t="shared" si="48"/>
        <v>#VALUE!</v>
      </c>
      <c r="I175" s="22" t="e">
        <f>VLOOKUP(H175,'2-SNR-Chan Cap vs Range'!$V$9:$Y$23,5)</f>
        <v>#VALUE!</v>
      </c>
      <c r="J175" s="22" t="e">
        <f>SUM(I$167:I175)/$A175</f>
        <v>#VALUE!</v>
      </c>
      <c r="K175" s="99" t="e">
        <f t="shared" si="49"/>
        <v>#VALUE!</v>
      </c>
      <c r="L175" s="22" t="e">
        <f t="shared" si="57"/>
        <v>#VALUE!</v>
      </c>
      <c r="M175" s="22" t="e">
        <f t="shared" si="50"/>
        <v>#VALUE!</v>
      </c>
      <c r="N175" s="22" t="e">
        <f>VLOOKUP(M175,'2-SNR-Chan Cap vs Range'!$V$9:$Y$23,5)</f>
        <v>#VALUE!</v>
      </c>
      <c r="O175" s="22" t="e">
        <f>SUM(N$167:N175)/$A175</f>
        <v>#VALUE!</v>
      </c>
      <c r="P175" s="99" t="e">
        <f t="shared" si="51"/>
        <v>#VALUE!</v>
      </c>
      <c r="Q175" s="22" t="e">
        <f t="shared" si="58"/>
        <v>#VALUE!</v>
      </c>
      <c r="R175" s="22" t="e">
        <f t="shared" si="52"/>
        <v>#VALUE!</v>
      </c>
      <c r="S175" s="22" t="e">
        <f>VLOOKUP(R175,'2-SNR-Chan Cap vs Range'!$V$9:$Y$23,5)</f>
        <v>#VALUE!</v>
      </c>
      <c r="T175" s="22" t="e">
        <f>SUM(S$167:S175)/$A175</f>
        <v>#VALUE!</v>
      </c>
      <c r="U175" s="99" t="e">
        <f t="shared" si="53"/>
        <v>#VALUE!</v>
      </c>
    </row>
    <row r="176" spans="1:21">
      <c r="A176">
        <f t="shared" si="54"/>
        <v>10</v>
      </c>
      <c r="B176" s="22" t="e">
        <f t="shared" si="55"/>
        <v>#VALUE!</v>
      </c>
      <c r="C176" s="22" t="e">
        <f t="shared" si="46"/>
        <v>#VALUE!</v>
      </c>
      <c r="D176" s="22" t="e">
        <f>VLOOKUP(C176,'2-SNR-Chan Cap vs Range'!$V$9:$Y$23,5)</f>
        <v>#VALUE!</v>
      </c>
      <c r="E176" s="22" t="e">
        <f>SUM(D$167:D176)/$A176</f>
        <v>#VALUE!</v>
      </c>
      <c r="F176" s="99" t="e">
        <f t="shared" si="47"/>
        <v>#VALUE!</v>
      </c>
      <c r="G176" s="22" t="e">
        <f t="shared" si="56"/>
        <v>#VALUE!</v>
      </c>
      <c r="H176" s="22" t="e">
        <f t="shared" si="48"/>
        <v>#VALUE!</v>
      </c>
      <c r="I176" s="22" t="e">
        <f>VLOOKUP(H176,'2-SNR-Chan Cap vs Range'!$V$9:$Y$23,5)</f>
        <v>#VALUE!</v>
      </c>
      <c r="J176" s="22" t="e">
        <f>SUM(I$167:I176)/$A176</f>
        <v>#VALUE!</v>
      </c>
      <c r="K176" s="99" t="e">
        <f t="shared" si="49"/>
        <v>#VALUE!</v>
      </c>
      <c r="L176" s="22" t="e">
        <f t="shared" si="57"/>
        <v>#VALUE!</v>
      </c>
      <c r="M176" s="22" t="e">
        <f t="shared" si="50"/>
        <v>#VALUE!</v>
      </c>
      <c r="N176" s="22" t="e">
        <f>VLOOKUP(M176,'2-SNR-Chan Cap vs Range'!$V$9:$Y$23,5)</f>
        <v>#VALUE!</v>
      </c>
      <c r="O176" s="22" t="e">
        <f>SUM(N$167:N176)/$A176</f>
        <v>#VALUE!</v>
      </c>
      <c r="P176" s="99" t="e">
        <f t="shared" si="51"/>
        <v>#VALUE!</v>
      </c>
      <c r="Q176" s="22" t="e">
        <f t="shared" si="58"/>
        <v>#VALUE!</v>
      </c>
      <c r="R176" s="22" t="e">
        <f t="shared" si="52"/>
        <v>#VALUE!</v>
      </c>
      <c r="S176" s="22" t="e">
        <f>VLOOKUP(R176,'2-SNR-Chan Cap vs Range'!$V$9:$Y$23,5)</f>
        <v>#VALUE!</v>
      </c>
      <c r="T176" s="22" t="e">
        <f>SUM(S$167:S176)/$A176</f>
        <v>#VALUE!</v>
      </c>
      <c r="U176" s="99" t="e">
        <f t="shared" si="53"/>
        <v>#VALUE!</v>
      </c>
    </row>
    <row r="177" spans="1:21">
      <c r="A177">
        <f t="shared" si="54"/>
        <v>11</v>
      </c>
      <c r="B177" s="22" t="e">
        <f t="shared" si="55"/>
        <v>#VALUE!</v>
      </c>
      <c r="C177" s="22" t="e">
        <f t="shared" si="46"/>
        <v>#VALUE!</v>
      </c>
      <c r="D177" s="22" t="e">
        <f>VLOOKUP(C177,'2-SNR-Chan Cap vs Range'!$V$9:$Y$23,5)</f>
        <v>#VALUE!</v>
      </c>
      <c r="E177" s="22" t="e">
        <f>SUM(D$167:D177)/$A177</f>
        <v>#VALUE!</v>
      </c>
      <c r="F177" s="99" t="e">
        <f t="shared" si="47"/>
        <v>#VALUE!</v>
      </c>
      <c r="G177" s="22" t="e">
        <f t="shared" si="56"/>
        <v>#VALUE!</v>
      </c>
      <c r="H177" s="22" t="e">
        <f t="shared" si="48"/>
        <v>#VALUE!</v>
      </c>
      <c r="I177" s="22" t="e">
        <f>VLOOKUP(H177,'2-SNR-Chan Cap vs Range'!$V$9:$Y$23,5)</f>
        <v>#VALUE!</v>
      </c>
      <c r="J177" s="22" t="e">
        <f>SUM(I$167:I177)/$A177</f>
        <v>#VALUE!</v>
      </c>
      <c r="K177" s="99" t="e">
        <f t="shared" si="49"/>
        <v>#VALUE!</v>
      </c>
      <c r="L177" s="22" t="e">
        <f t="shared" si="57"/>
        <v>#VALUE!</v>
      </c>
      <c r="M177" s="22" t="e">
        <f t="shared" si="50"/>
        <v>#VALUE!</v>
      </c>
      <c r="N177" s="22" t="e">
        <f>VLOOKUP(M177,'2-SNR-Chan Cap vs Range'!$V$9:$Y$23,5)</f>
        <v>#VALUE!</v>
      </c>
      <c r="O177" s="22" t="e">
        <f>SUM(N$167:N177)/$A177</f>
        <v>#VALUE!</v>
      </c>
      <c r="P177" s="99" t="e">
        <f t="shared" si="51"/>
        <v>#VALUE!</v>
      </c>
      <c r="Q177" s="22" t="e">
        <f t="shared" si="58"/>
        <v>#VALUE!</v>
      </c>
      <c r="R177" s="22" t="e">
        <f t="shared" si="52"/>
        <v>#VALUE!</v>
      </c>
      <c r="S177" s="22" t="e">
        <f>VLOOKUP(R177,'2-SNR-Chan Cap vs Range'!$V$9:$Y$23,5)</f>
        <v>#VALUE!</v>
      </c>
      <c r="T177" s="22" t="e">
        <f>SUM(S$167:S177)/$A177</f>
        <v>#VALUE!</v>
      </c>
      <c r="U177" s="99" t="e">
        <f t="shared" si="53"/>
        <v>#VALUE!</v>
      </c>
    </row>
    <row r="178" spans="1:21">
      <c r="A178">
        <f t="shared" si="54"/>
        <v>12</v>
      </c>
      <c r="B178" s="22" t="e">
        <f t="shared" si="55"/>
        <v>#VALUE!</v>
      </c>
      <c r="C178" s="22" t="e">
        <f t="shared" si="46"/>
        <v>#VALUE!</v>
      </c>
      <c r="D178" s="22" t="e">
        <f>VLOOKUP(C178,'2-SNR-Chan Cap vs Range'!$V$9:$Y$23,5)</f>
        <v>#VALUE!</v>
      </c>
      <c r="E178" s="22" t="e">
        <f>SUM(D$167:D178)/$A178</f>
        <v>#VALUE!</v>
      </c>
      <c r="F178" s="99" t="e">
        <f t="shared" si="47"/>
        <v>#VALUE!</v>
      </c>
      <c r="G178" s="22" t="e">
        <f t="shared" si="56"/>
        <v>#VALUE!</v>
      </c>
      <c r="H178" s="22" t="e">
        <f t="shared" si="48"/>
        <v>#VALUE!</v>
      </c>
      <c r="I178" s="22" t="e">
        <f>VLOOKUP(H178,'2-SNR-Chan Cap vs Range'!$V$9:$Y$23,5)</f>
        <v>#VALUE!</v>
      </c>
      <c r="J178" s="22" t="e">
        <f>SUM(I$167:I178)/$A178</f>
        <v>#VALUE!</v>
      </c>
      <c r="K178" s="99" t="e">
        <f t="shared" si="49"/>
        <v>#VALUE!</v>
      </c>
      <c r="L178" s="22" t="e">
        <f t="shared" si="57"/>
        <v>#VALUE!</v>
      </c>
      <c r="M178" s="22" t="e">
        <f t="shared" si="50"/>
        <v>#VALUE!</v>
      </c>
      <c r="N178" s="22" t="e">
        <f>VLOOKUP(M178,'2-SNR-Chan Cap vs Range'!$V$9:$Y$23,5)</f>
        <v>#VALUE!</v>
      </c>
      <c r="O178" s="22" t="e">
        <f>SUM(N$167:N178)/$A178</f>
        <v>#VALUE!</v>
      </c>
      <c r="P178" s="99" t="e">
        <f t="shared" si="51"/>
        <v>#VALUE!</v>
      </c>
      <c r="Q178" s="22" t="e">
        <f t="shared" si="58"/>
        <v>#VALUE!</v>
      </c>
      <c r="R178" s="22" t="e">
        <f t="shared" si="52"/>
        <v>#VALUE!</v>
      </c>
      <c r="S178" s="22" t="e">
        <f>VLOOKUP(R178,'2-SNR-Chan Cap vs Range'!$V$9:$Y$23,5)</f>
        <v>#VALUE!</v>
      </c>
      <c r="T178" s="22" t="e">
        <f>SUM(S$167:S178)/$A178</f>
        <v>#VALUE!</v>
      </c>
      <c r="U178" s="99" t="e">
        <f t="shared" si="53"/>
        <v>#VALUE!</v>
      </c>
    </row>
    <row r="179" spans="1:21">
      <c r="A179">
        <f t="shared" si="54"/>
        <v>13</v>
      </c>
      <c r="B179" s="22" t="e">
        <f t="shared" si="55"/>
        <v>#VALUE!</v>
      </c>
      <c r="C179" s="22" t="e">
        <f t="shared" si="46"/>
        <v>#VALUE!</v>
      </c>
      <c r="D179" s="22" t="e">
        <f>VLOOKUP(C179,'2-SNR-Chan Cap vs Range'!$V$9:$Y$23,5)</f>
        <v>#VALUE!</v>
      </c>
      <c r="E179" s="22" t="e">
        <f>SUM(D$167:D179)/$A179</f>
        <v>#VALUE!</v>
      </c>
      <c r="F179" s="99" t="e">
        <f t="shared" si="47"/>
        <v>#VALUE!</v>
      </c>
      <c r="G179" s="22" t="e">
        <f t="shared" si="56"/>
        <v>#VALUE!</v>
      </c>
      <c r="H179" s="22" t="e">
        <f t="shared" si="48"/>
        <v>#VALUE!</v>
      </c>
      <c r="I179" s="22" t="e">
        <f>VLOOKUP(H179,'2-SNR-Chan Cap vs Range'!$V$9:$Y$23,5)</f>
        <v>#VALUE!</v>
      </c>
      <c r="J179" s="22" t="e">
        <f>SUM(I$167:I179)/$A179</f>
        <v>#VALUE!</v>
      </c>
      <c r="K179" s="99" t="e">
        <f t="shared" si="49"/>
        <v>#VALUE!</v>
      </c>
      <c r="L179" s="22" t="e">
        <f t="shared" si="57"/>
        <v>#VALUE!</v>
      </c>
      <c r="M179" s="22" t="e">
        <f t="shared" si="50"/>
        <v>#VALUE!</v>
      </c>
      <c r="N179" s="22" t="e">
        <f>VLOOKUP(M179,'2-SNR-Chan Cap vs Range'!$V$9:$Y$23,5)</f>
        <v>#VALUE!</v>
      </c>
      <c r="O179" s="22" t="e">
        <f>SUM(N$167:N179)/$A179</f>
        <v>#VALUE!</v>
      </c>
      <c r="P179" s="99" t="e">
        <f t="shared" si="51"/>
        <v>#VALUE!</v>
      </c>
      <c r="Q179" s="22" t="e">
        <f t="shared" si="58"/>
        <v>#VALUE!</v>
      </c>
      <c r="R179" s="22" t="e">
        <f t="shared" si="52"/>
        <v>#VALUE!</v>
      </c>
      <c r="S179" s="22" t="e">
        <f>VLOOKUP(R179,'2-SNR-Chan Cap vs Range'!$V$9:$Y$23,5)</f>
        <v>#VALUE!</v>
      </c>
      <c r="T179" s="22" t="e">
        <f>SUM(S$167:S179)/$A179</f>
        <v>#VALUE!</v>
      </c>
      <c r="U179" s="99" t="e">
        <f t="shared" si="53"/>
        <v>#VALUE!</v>
      </c>
    </row>
    <row r="180" spans="1:21">
      <c r="A180">
        <f t="shared" si="54"/>
        <v>14</v>
      </c>
      <c r="B180" s="22" t="e">
        <f t="shared" si="55"/>
        <v>#VALUE!</v>
      </c>
      <c r="C180" s="22" t="e">
        <f t="shared" si="46"/>
        <v>#VALUE!</v>
      </c>
      <c r="D180" s="22" t="e">
        <f>VLOOKUP(C180,'2-SNR-Chan Cap vs Range'!$V$9:$Y$23,5)</f>
        <v>#VALUE!</v>
      </c>
      <c r="E180" s="22" t="e">
        <f>SUM(D$167:D180)/$A180</f>
        <v>#VALUE!</v>
      </c>
      <c r="F180" s="99" t="e">
        <f t="shared" si="47"/>
        <v>#VALUE!</v>
      </c>
      <c r="G180" s="22" t="e">
        <f t="shared" si="56"/>
        <v>#VALUE!</v>
      </c>
      <c r="H180" s="22" t="e">
        <f t="shared" si="48"/>
        <v>#VALUE!</v>
      </c>
      <c r="I180" s="22" t="e">
        <f>VLOOKUP(H180,'2-SNR-Chan Cap vs Range'!$V$9:$Y$23,5)</f>
        <v>#VALUE!</v>
      </c>
      <c r="J180" s="22" t="e">
        <f>SUM(I$167:I180)/$A180</f>
        <v>#VALUE!</v>
      </c>
      <c r="K180" s="99" t="e">
        <f t="shared" si="49"/>
        <v>#VALUE!</v>
      </c>
      <c r="L180" s="22" t="e">
        <f t="shared" si="57"/>
        <v>#VALUE!</v>
      </c>
      <c r="M180" s="22" t="e">
        <f t="shared" si="50"/>
        <v>#VALUE!</v>
      </c>
      <c r="N180" s="22" t="e">
        <f>VLOOKUP(M180,'2-SNR-Chan Cap vs Range'!$V$9:$Y$23,5)</f>
        <v>#VALUE!</v>
      </c>
      <c r="O180" s="22" t="e">
        <f>SUM(N$167:N180)/$A180</f>
        <v>#VALUE!</v>
      </c>
      <c r="P180" s="99" t="e">
        <f t="shared" si="51"/>
        <v>#VALUE!</v>
      </c>
      <c r="Q180" s="22" t="e">
        <f t="shared" si="58"/>
        <v>#VALUE!</v>
      </c>
      <c r="R180" s="22" t="e">
        <f t="shared" si="52"/>
        <v>#VALUE!</v>
      </c>
      <c r="S180" s="22" t="e">
        <f>VLOOKUP(R180,'2-SNR-Chan Cap vs Range'!$V$9:$Y$23,5)</f>
        <v>#VALUE!</v>
      </c>
      <c r="T180" s="22" t="e">
        <f>SUM(S$167:S180)/$A180</f>
        <v>#VALUE!</v>
      </c>
      <c r="U180" s="99" t="e">
        <f t="shared" si="53"/>
        <v>#VALUE!</v>
      </c>
    </row>
    <row r="181" spans="1:21">
      <c r="A181">
        <f t="shared" si="54"/>
        <v>15</v>
      </c>
      <c r="B181" s="22" t="e">
        <f t="shared" si="55"/>
        <v>#VALUE!</v>
      </c>
      <c r="C181" s="22" t="e">
        <f t="shared" si="46"/>
        <v>#VALUE!</v>
      </c>
      <c r="D181" s="22" t="e">
        <f>VLOOKUP(C181,'2-SNR-Chan Cap vs Range'!$V$9:$Y$23,5)</f>
        <v>#VALUE!</v>
      </c>
      <c r="E181" s="22" t="e">
        <f>SUM(D$167:D181)/$A181</f>
        <v>#VALUE!</v>
      </c>
      <c r="F181" s="99" t="e">
        <f t="shared" si="47"/>
        <v>#VALUE!</v>
      </c>
      <c r="G181" s="22" t="e">
        <f t="shared" si="56"/>
        <v>#VALUE!</v>
      </c>
      <c r="H181" s="22" t="e">
        <f t="shared" si="48"/>
        <v>#VALUE!</v>
      </c>
      <c r="I181" s="22" t="e">
        <f>VLOOKUP(H181,'2-SNR-Chan Cap vs Range'!$V$9:$Y$23,5)</f>
        <v>#VALUE!</v>
      </c>
      <c r="J181" s="22" t="e">
        <f>SUM(I$167:I181)/$A181</f>
        <v>#VALUE!</v>
      </c>
      <c r="K181" s="99" t="e">
        <f t="shared" si="49"/>
        <v>#VALUE!</v>
      </c>
      <c r="L181" s="22" t="e">
        <f t="shared" si="57"/>
        <v>#VALUE!</v>
      </c>
      <c r="M181" s="22" t="e">
        <f t="shared" si="50"/>
        <v>#VALUE!</v>
      </c>
      <c r="N181" s="22" t="e">
        <f>VLOOKUP(M181,'2-SNR-Chan Cap vs Range'!$V$9:$Y$23,5)</f>
        <v>#VALUE!</v>
      </c>
      <c r="O181" s="22" t="e">
        <f>SUM(N$167:N181)/$A181</f>
        <v>#VALUE!</v>
      </c>
      <c r="P181" s="99" t="e">
        <f t="shared" si="51"/>
        <v>#VALUE!</v>
      </c>
      <c r="Q181" s="22" t="e">
        <f t="shared" si="58"/>
        <v>#VALUE!</v>
      </c>
      <c r="R181" s="22" t="e">
        <f t="shared" si="52"/>
        <v>#VALUE!</v>
      </c>
      <c r="S181" s="22" t="e">
        <f>VLOOKUP(R181,'2-SNR-Chan Cap vs Range'!$V$9:$Y$23,5)</f>
        <v>#VALUE!</v>
      </c>
      <c r="T181" s="22" t="e">
        <f>SUM(S$167:S181)/$A181</f>
        <v>#VALUE!</v>
      </c>
      <c r="U181" s="99" t="e">
        <f t="shared" si="53"/>
        <v>#VALUE!</v>
      </c>
    </row>
    <row r="182" spans="1:21">
      <c r="A182">
        <f t="shared" si="54"/>
        <v>16</v>
      </c>
      <c r="B182" s="22" t="e">
        <f t="shared" si="55"/>
        <v>#VALUE!</v>
      </c>
      <c r="C182" s="22" t="e">
        <f t="shared" si="46"/>
        <v>#VALUE!</v>
      </c>
      <c r="D182" s="22" t="e">
        <f>VLOOKUP(C182,'2-SNR-Chan Cap vs Range'!$V$9:$Y$23,5)</f>
        <v>#VALUE!</v>
      </c>
      <c r="E182" s="22" t="e">
        <f>SUM(D$167:D182)/$A182</f>
        <v>#VALUE!</v>
      </c>
      <c r="F182" s="99" t="e">
        <f t="shared" si="47"/>
        <v>#VALUE!</v>
      </c>
      <c r="G182" s="22" t="e">
        <f t="shared" si="56"/>
        <v>#VALUE!</v>
      </c>
      <c r="H182" s="22" t="e">
        <f t="shared" si="48"/>
        <v>#VALUE!</v>
      </c>
      <c r="I182" s="22" t="e">
        <f>VLOOKUP(H182,'2-SNR-Chan Cap vs Range'!$V$9:$Y$23,5)</f>
        <v>#VALUE!</v>
      </c>
      <c r="J182" s="22" t="e">
        <f>SUM(I$167:I182)/$A182</f>
        <v>#VALUE!</v>
      </c>
      <c r="K182" s="99" t="e">
        <f t="shared" si="49"/>
        <v>#VALUE!</v>
      </c>
      <c r="L182" s="22" t="e">
        <f t="shared" si="57"/>
        <v>#VALUE!</v>
      </c>
      <c r="M182" s="22" t="e">
        <f t="shared" si="50"/>
        <v>#VALUE!</v>
      </c>
      <c r="N182" s="22" t="e">
        <f>VLOOKUP(M182,'2-SNR-Chan Cap vs Range'!$V$9:$Y$23,5)</f>
        <v>#VALUE!</v>
      </c>
      <c r="O182" s="22" t="e">
        <f>SUM(N$167:N182)/$A182</f>
        <v>#VALUE!</v>
      </c>
      <c r="P182" s="99" t="e">
        <f t="shared" si="51"/>
        <v>#VALUE!</v>
      </c>
      <c r="Q182" s="22" t="e">
        <f t="shared" si="58"/>
        <v>#VALUE!</v>
      </c>
      <c r="R182" s="22" t="e">
        <f t="shared" si="52"/>
        <v>#VALUE!</v>
      </c>
      <c r="S182" s="22" t="e">
        <f>VLOOKUP(R182,'2-SNR-Chan Cap vs Range'!$V$9:$Y$23,5)</f>
        <v>#VALUE!</v>
      </c>
      <c r="T182" s="22" t="e">
        <f>SUM(S$167:S182)/$A182</f>
        <v>#VALUE!</v>
      </c>
      <c r="U182" s="99" t="e">
        <f t="shared" si="53"/>
        <v>#VALUE!</v>
      </c>
    </row>
    <row r="183" spans="1:21">
      <c r="A183">
        <f t="shared" si="54"/>
        <v>17</v>
      </c>
      <c r="B183" s="22" t="e">
        <f t="shared" si="55"/>
        <v>#VALUE!</v>
      </c>
      <c r="C183" s="22" t="e">
        <f t="shared" si="46"/>
        <v>#VALUE!</v>
      </c>
      <c r="D183" s="22" t="e">
        <f>VLOOKUP(C183,'2-SNR-Chan Cap vs Range'!$V$9:$Y$23,5)</f>
        <v>#VALUE!</v>
      </c>
      <c r="E183" s="22" t="e">
        <f>SUM(D$167:D183)/$A183</f>
        <v>#VALUE!</v>
      </c>
      <c r="F183" s="99" t="e">
        <f t="shared" si="47"/>
        <v>#VALUE!</v>
      </c>
      <c r="G183" s="22" t="e">
        <f t="shared" si="56"/>
        <v>#VALUE!</v>
      </c>
      <c r="H183" s="22" t="e">
        <f t="shared" si="48"/>
        <v>#VALUE!</v>
      </c>
      <c r="I183" s="22" t="e">
        <f>VLOOKUP(H183,'2-SNR-Chan Cap vs Range'!$V$9:$Y$23,5)</f>
        <v>#VALUE!</v>
      </c>
      <c r="J183" s="22" t="e">
        <f>SUM(I$167:I183)/$A183</f>
        <v>#VALUE!</v>
      </c>
      <c r="K183" s="99" t="e">
        <f t="shared" si="49"/>
        <v>#VALUE!</v>
      </c>
      <c r="L183" s="22" t="e">
        <f t="shared" si="57"/>
        <v>#VALUE!</v>
      </c>
      <c r="M183" s="22" t="e">
        <f t="shared" si="50"/>
        <v>#VALUE!</v>
      </c>
      <c r="N183" s="22" t="e">
        <f>VLOOKUP(M183,'2-SNR-Chan Cap vs Range'!$V$9:$Y$23,5)</f>
        <v>#VALUE!</v>
      </c>
      <c r="O183" s="22" t="e">
        <f>SUM(N$167:N183)/$A183</f>
        <v>#VALUE!</v>
      </c>
      <c r="P183" s="99" t="e">
        <f t="shared" si="51"/>
        <v>#VALUE!</v>
      </c>
      <c r="Q183" s="22" t="e">
        <f t="shared" si="58"/>
        <v>#VALUE!</v>
      </c>
      <c r="R183" s="22" t="e">
        <f t="shared" si="52"/>
        <v>#VALUE!</v>
      </c>
      <c r="S183" s="22" t="e">
        <f>VLOOKUP(R183,'2-SNR-Chan Cap vs Range'!$V$9:$Y$23,5)</f>
        <v>#VALUE!</v>
      </c>
      <c r="T183" s="22" t="e">
        <f>SUM(S$167:S183)/$A183</f>
        <v>#VALUE!</v>
      </c>
      <c r="U183" s="99" t="e">
        <f t="shared" si="53"/>
        <v>#VALUE!</v>
      </c>
    </row>
    <row r="184" spans="1:21">
      <c r="A184">
        <f t="shared" si="54"/>
        <v>18</v>
      </c>
      <c r="B184" s="22" t="e">
        <f t="shared" si="55"/>
        <v>#VALUE!</v>
      </c>
      <c r="C184" s="22" t="e">
        <f t="shared" si="46"/>
        <v>#VALUE!</v>
      </c>
      <c r="D184" s="22" t="e">
        <f>VLOOKUP(C184,'2-SNR-Chan Cap vs Range'!$V$9:$Y$23,5)</f>
        <v>#VALUE!</v>
      </c>
      <c r="E184" s="22" t="e">
        <f>SUM(D$167:D184)/$A184</f>
        <v>#VALUE!</v>
      </c>
      <c r="F184" s="99" t="e">
        <f t="shared" si="47"/>
        <v>#VALUE!</v>
      </c>
      <c r="G184" s="22" t="e">
        <f t="shared" si="56"/>
        <v>#VALUE!</v>
      </c>
      <c r="H184" s="22" t="e">
        <f t="shared" si="48"/>
        <v>#VALUE!</v>
      </c>
      <c r="I184" s="22" t="e">
        <f>VLOOKUP(H184,'2-SNR-Chan Cap vs Range'!$V$9:$Y$23,5)</f>
        <v>#VALUE!</v>
      </c>
      <c r="J184" s="22" t="e">
        <f>SUM(I$167:I184)/$A184</f>
        <v>#VALUE!</v>
      </c>
      <c r="K184" s="99" t="e">
        <f t="shared" si="49"/>
        <v>#VALUE!</v>
      </c>
      <c r="L184" s="22" t="e">
        <f t="shared" si="57"/>
        <v>#VALUE!</v>
      </c>
      <c r="M184" s="22" t="e">
        <f t="shared" si="50"/>
        <v>#VALUE!</v>
      </c>
      <c r="N184" s="22" t="e">
        <f>VLOOKUP(M184,'2-SNR-Chan Cap vs Range'!$V$9:$Y$23,5)</f>
        <v>#VALUE!</v>
      </c>
      <c r="O184" s="22" t="e">
        <f>SUM(N$167:N184)/$A184</f>
        <v>#VALUE!</v>
      </c>
      <c r="P184" s="99" t="e">
        <f t="shared" si="51"/>
        <v>#VALUE!</v>
      </c>
      <c r="Q184" s="22" t="e">
        <f t="shared" si="58"/>
        <v>#VALUE!</v>
      </c>
      <c r="R184" s="22" t="e">
        <f t="shared" si="52"/>
        <v>#VALUE!</v>
      </c>
      <c r="S184" s="22" t="e">
        <f>VLOOKUP(R184,'2-SNR-Chan Cap vs Range'!$V$9:$Y$23,5)</f>
        <v>#VALUE!</v>
      </c>
      <c r="T184" s="22" t="e">
        <f>SUM(S$167:S184)/$A184</f>
        <v>#VALUE!</v>
      </c>
      <c r="U184" s="99" t="e">
        <f t="shared" si="53"/>
        <v>#VALUE!</v>
      </c>
    </row>
    <row r="185" spans="1:21">
      <c r="A185">
        <f t="shared" si="54"/>
        <v>19</v>
      </c>
      <c r="B185" s="22" t="e">
        <f t="shared" si="55"/>
        <v>#VALUE!</v>
      </c>
      <c r="C185" s="22" t="e">
        <f t="shared" si="46"/>
        <v>#VALUE!</v>
      </c>
      <c r="D185" s="22" t="e">
        <f>VLOOKUP(C185,'2-SNR-Chan Cap vs Range'!$V$9:$Y$23,5)</f>
        <v>#VALUE!</v>
      </c>
      <c r="E185" s="22" t="e">
        <f>SUM(D$167:D185)/$A185</f>
        <v>#VALUE!</v>
      </c>
      <c r="F185" s="99" t="e">
        <f t="shared" si="47"/>
        <v>#VALUE!</v>
      </c>
      <c r="G185" s="22" t="e">
        <f t="shared" si="56"/>
        <v>#VALUE!</v>
      </c>
      <c r="H185" s="22" t="e">
        <f t="shared" si="48"/>
        <v>#VALUE!</v>
      </c>
      <c r="I185" s="22" t="e">
        <f>VLOOKUP(H185,'2-SNR-Chan Cap vs Range'!$V$9:$Y$23,5)</f>
        <v>#VALUE!</v>
      </c>
      <c r="J185" s="22" t="e">
        <f>SUM(I$167:I185)/$A185</f>
        <v>#VALUE!</v>
      </c>
      <c r="K185" s="99" t="e">
        <f t="shared" si="49"/>
        <v>#VALUE!</v>
      </c>
      <c r="L185" s="22" t="e">
        <f t="shared" si="57"/>
        <v>#VALUE!</v>
      </c>
      <c r="M185" s="22" t="e">
        <f t="shared" si="50"/>
        <v>#VALUE!</v>
      </c>
      <c r="N185" s="22" t="e">
        <f>VLOOKUP(M185,'2-SNR-Chan Cap vs Range'!$V$9:$Y$23,5)</f>
        <v>#VALUE!</v>
      </c>
      <c r="O185" s="22" t="e">
        <f>SUM(N$167:N185)/$A185</f>
        <v>#VALUE!</v>
      </c>
      <c r="P185" s="99" t="e">
        <f t="shared" si="51"/>
        <v>#VALUE!</v>
      </c>
      <c r="Q185" s="22" t="e">
        <f t="shared" si="58"/>
        <v>#VALUE!</v>
      </c>
      <c r="R185" s="22" t="e">
        <f t="shared" si="52"/>
        <v>#VALUE!</v>
      </c>
      <c r="S185" s="22" t="e">
        <f>VLOOKUP(R185,'2-SNR-Chan Cap vs Range'!$V$9:$Y$23,5)</f>
        <v>#VALUE!</v>
      </c>
      <c r="T185" s="22" t="e">
        <f>SUM(S$167:S185)/$A185</f>
        <v>#VALUE!</v>
      </c>
      <c r="U185" s="99" t="e">
        <f t="shared" si="53"/>
        <v>#VALUE!</v>
      </c>
    </row>
    <row r="186" spans="1:21">
      <c r="A186">
        <f t="shared" si="54"/>
        <v>20</v>
      </c>
      <c r="B186" s="22" t="e">
        <f t="shared" si="55"/>
        <v>#VALUE!</v>
      </c>
      <c r="C186" s="22" t="e">
        <f t="shared" si="46"/>
        <v>#VALUE!</v>
      </c>
      <c r="D186" s="22" t="e">
        <f>VLOOKUP(C186,'2-SNR-Chan Cap vs Range'!$V$9:$Y$23,5)</f>
        <v>#VALUE!</v>
      </c>
      <c r="E186" s="22" t="e">
        <f>SUM(D$167:D186)/$A186</f>
        <v>#VALUE!</v>
      </c>
      <c r="F186" s="99" t="e">
        <f t="shared" si="47"/>
        <v>#VALUE!</v>
      </c>
      <c r="G186" s="22" t="e">
        <f t="shared" si="56"/>
        <v>#VALUE!</v>
      </c>
      <c r="H186" s="22" t="e">
        <f t="shared" si="48"/>
        <v>#VALUE!</v>
      </c>
      <c r="I186" s="22" t="e">
        <f>VLOOKUP(H186,'2-SNR-Chan Cap vs Range'!$V$9:$Y$23,5)</f>
        <v>#VALUE!</v>
      </c>
      <c r="J186" s="22" t="e">
        <f>SUM(I$167:I186)/$A186</f>
        <v>#VALUE!</v>
      </c>
      <c r="K186" s="99" t="e">
        <f t="shared" si="49"/>
        <v>#VALUE!</v>
      </c>
      <c r="L186" s="22" t="e">
        <f t="shared" si="57"/>
        <v>#VALUE!</v>
      </c>
      <c r="M186" s="22" t="e">
        <f t="shared" si="50"/>
        <v>#VALUE!</v>
      </c>
      <c r="N186" s="22" t="e">
        <f>VLOOKUP(M186,'2-SNR-Chan Cap vs Range'!$V$9:$Y$23,5)</f>
        <v>#VALUE!</v>
      </c>
      <c r="O186" s="22" t="e">
        <f>SUM(N$167:N186)/$A186</f>
        <v>#VALUE!</v>
      </c>
      <c r="P186" s="99" t="e">
        <f t="shared" si="51"/>
        <v>#VALUE!</v>
      </c>
      <c r="Q186" s="22" t="e">
        <f t="shared" si="58"/>
        <v>#VALUE!</v>
      </c>
      <c r="R186" s="22" t="e">
        <f t="shared" si="52"/>
        <v>#VALUE!</v>
      </c>
      <c r="S186" s="22" t="e">
        <f>VLOOKUP(R186,'2-SNR-Chan Cap vs Range'!$V$9:$Y$23,5)</f>
        <v>#VALUE!</v>
      </c>
      <c r="T186" s="22" t="e">
        <f>SUM(S$167:S186)/$A186</f>
        <v>#VALUE!</v>
      </c>
      <c r="U186" s="99" t="e">
        <f t="shared" si="53"/>
        <v>#VALUE!</v>
      </c>
    </row>
    <row r="187" spans="1:21">
      <c r="A187">
        <f t="shared" si="54"/>
        <v>21</v>
      </c>
      <c r="B187" s="22" t="e">
        <f t="shared" si="55"/>
        <v>#VALUE!</v>
      </c>
      <c r="C187" s="22" t="e">
        <f t="shared" si="46"/>
        <v>#VALUE!</v>
      </c>
      <c r="D187" s="22" t="e">
        <f>VLOOKUP(C187,'2-SNR-Chan Cap vs Range'!$V$9:$Y$23,5)</f>
        <v>#VALUE!</v>
      </c>
      <c r="E187" s="22" t="e">
        <f>SUM(D$167:D187)/$A187</f>
        <v>#VALUE!</v>
      </c>
      <c r="F187" s="99" t="e">
        <f t="shared" si="47"/>
        <v>#VALUE!</v>
      </c>
      <c r="G187" s="22" t="e">
        <f t="shared" si="56"/>
        <v>#VALUE!</v>
      </c>
      <c r="H187" s="22" t="e">
        <f t="shared" si="48"/>
        <v>#VALUE!</v>
      </c>
      <c r="I187" s="22" t="e">
        <f>VLOOKUP(H187,'2-SNR-Chan Cap vs Range'!$V$9:$Y$23,5)</f>
        <v>#VALUE!</v>
      </c>
      <c r="J187" s="22" t="e">
        <f>SUM(I$167:I187)/$A187</f>
        <v>#VALUE!</v>
      </c>
      <c r="K187" s="99" t="e">
        <f t="shared" si="49"/>
        <v>#VALUE!</v>
      </c>
      <c r="L187" s="22" t="e">
        <f t="shared" si="57"/>
        <v>#VALUE!</v>
      </c>
      <c r="M187" s="22" t="e">
        <f t="shared" si="50"/>
        <v>#VALUE!</v>
      </c>
      <c r="N187" s="22" t="e">
        <f>VLOOKUP(M187,'2-SNR-Chan Cap vs Range'!$V$9:$Y$23,5)</f>
        <v>#VALUE!</v>
      </c>
      <c r="O187" s="22" t="e">
        <f>SUM(N$167:N187)/$A187</f>
        <v>#VALUE!</v>
      </c>
      <c r="P187" s="99" t="e">
        <f t="shared" si="51"/>
        <v>#VALUE!</v>
      </c>
      <c r="Q187" s="22" t="e">
        <f t="shared" si="58"/>
        <v>#VALUE!</v>
      </c>
      <c r="R187" s="22" t="e">
        <f t="shared" si="52"/>
        <v>#VALUE!</v>
      </c>
      <c r="S187" s="22" t="e">
        <f>VLOOKUP(R187,'2-SNR-Chan Cap vs Range'!$V$9:$Y$23,5)</f>
        <v>#VALUE!</v>
      </c>
      <c r="T187" s="22" t="e">
        <f>SUM(S$167:S187)/$A187</f>
        <v>#VALUE!</v>
      </c>
      <c r="U187" s="99" t="e">
        <f t="shared" si="53"/>
        <v>#VALUE!</v>
      </c>
    </row>
    <row r="188" spans="1:21">
      <c r="A188">
        <f t="shared" si="54"/>
        <v>22</v>
      </c>
      <c r="B188" s="22" t="e">
        <f t="shared" si="55"/>
        <v>#VALUE!</v>
      </c>
      <c r="C188" s="22" t="e">
        <f t="shared" si="46"/>
        <v>#VALUE!</v>
      </c>
      <c r="D188" s="22" t="e">
        <f>VLOOKUP(C188,'2-SNR-Chan Cap vs Range'!$V$9:$Y$23,5)</f>
        <v>#VALUE!</v>
      </c>
      <c r="E188" s="22" t="e">
        <f>SUM(D$167:D188)/$A188</f>
        <v>#VALUE!</v>
      </c>
      <c r="F188" s="99" t="e">
        <f t="shared" si="47"/>
        <v>#VALUE!</v>
      </c>
      <c r="G188" s="22" t="e">
        <f t="shared" si="56"/>
        <v>#VALUE!</v>
      </c>
      <c r="H188" s="22" t="e">
        <f t="shared" si="48"/>
        <v>#VALUE!</v>
      </c>
      <c r="I188" s="22" t="e">
        <f>VLOOKUP(H188,'2-SNR-Chan Cap vs Range'!$V$9:$Y$23,5)</f>
        <v>#VALUE!</v>
      </c>
      <c r="J188" s="22" t="e">
        <f>SUM(I$167:I188)/$A188</f>
        <v>#VALUE!</v>
      </c>
      <c r="K188" s="99" t="e">
        <f t="shared" si="49"/>
        <v>#VALUE!</v>
      </c>
      <c r="L188" s="22" t="e">
        <f t="shared" si="57"/>
        <v>#VALUE!</v>
      </c>
      <c r="M188" s="22" t="e">
        <f t="shared" si="50"/>
        <v>#VALUE!</v>
      </c>
      <c r="N188" s="22" t="e">
        <f>VLOOKUP(M188,'2-SNR-Chan Cap vs Range'!$V$9:$Y$23,5)</f>
        <v>#VALUE!</v>
      </c>
      <c r="O188" s="22" t="e">
        <f>SUM(N$167:N188)/$A188</f>
        <v>#VALUE!</v>
      </c>
      <c r="P188" s="99" t="e">
        <f t="shared" si="51"/>
        <v>#VALUE!</v>
      </c>
      <c r="Q188" s="22" t="e">
        <f t="shared" si="58"/>
        <v>#VALUE!</v>
      </c>
      <c r="R188" s="22" t="e">
        <f t="shared" si="52"/>
        <v>#VALUE!</v>
      </c>
      <c r="S188" s="22" t="e">
        <f>VLOOKUP(R188,'2-SNR-Chan Cap vs Range'!$V$9:$Y$23,5)</f>
        <v>#VALUE!</v>
      </c>
      <c r="T188" s="22" t="e">
        <f>SUM(S$167:S188)/$A188</f>
        <v>#VALUE!</v>
      </c>
      <c r="U188" s="99" t="e">
        <f t="shared" si="53"/>
        <v>#VALUE!</v>
      </c>
    </row>
    <row r="189" spans="1:21">
      <c r="A189">
        <f t="shared" si="54"/>
        <v>23</v>
      </c>
      <c r="B189" s="22" t="e">
        <f t="shared" si="55"/>
        <v>#VALUE!</v>
      </c>
      <c r="C189" s="22" t="e">
        <f t="shared" si="46"/>
        <v>#VALUE!</v>
      </c>
      <c r="D189" s="22" t="e">
        <f>VLOOKUP(C189,'2-SNR-Chan Cap vs Range'!$V$9:$Y$23,5)</f>
        <v>#VALUE!</v>
      </c>
      <c r="E189" s="22" t="e">
        <f>SUM(D$167:D189)/$A189</f>
        <v>#VALUE!</v>
      </c>
      <c r="F189" s="99" t="e">
        <f t="shared" si="47"/>
        <v>#VALUE!</v>
      </c>
      <c r="G189" s="22" t="e">
        <f t="shared" si="56"/>
        <v>#VALUE!</v>
      </c>
      <c r="H189" s="22" t="e">
        <f t="shared" si="48"/>
        <v>#VALUE!</v>
      </c>
      <c r="I189" s="22" t="e">
        <f>VLOOKUP(H189,'2-SNR-Chan Cap vs Range'!$V$9:$Y$23,5)</f>
        <v>#VALUE!</v>
      </c>
      <c r="J189" s="22" t="e">
        <f>SUM(I$167:I189)/$A189</f>
        <v>#VALUE!</v>
      </c>
      <c r="K189" s="99" t="e">
        <f t="shared" si="49"/>
        <v>#VALUE!</v>
      </c>
      <c r="L189" s="22" t="e">
        <f t="shared" si="57"/>
        <v>#VALUE!</v>
      </c>
      <c r="M189" s="22" t="e">
        <f t="shared" si="50"/>
        <v>#VALUE!</v>
      </c>
      <c r="N189" s="22" t="e">
        <f>VLOOKUP(M189,'2-SNR-Chan Cap vs Range'!$V$9:$Y$23,5)</f>
        <v>#VALUE!</v>
      </c>
      <c r="O189" s="22" t="e">
        <f>SUM(N$167:N189)/$A189</f>
        <v>#VALUE!</v>
      </c>
      <c r="P189" s="99" t="e">
        <f t="shared" si="51"/>
        <v>#VALUE!</v>
      </c>
      <c r="Q189" s="22" t="e">
        <f t="shared" si="58"/>
        <v>#VALUE!</v>
      </c>
      <c r="R189" s="22" t="e">
        <f t="shared" si="52"/>
        <v>#VALUE!</v>
      </c>
      <c r="S189" s="22" t="e">
        <f>VLOOKUP(R189,'2-SNR-Chan Cap vs Range'!$V$9:$Y$23,5)</f>
        <v>#VALUE!</v>
      </c>
      <c r="T189" s="22" t="e">
        <f>SUM(S$167:S189)/$A189</f>
        <v>#VALUE!</v>
      </c>
      <c r="U189" s="99" t="e">
        <f t="shared" si="53"/>
        <v>#VALUE!</v>
      </c>
    </row>
    <row r="190" spans="1:21">
      <c r="A190">
        <f t="shared" si="54"/>
        <v>24</v>
      </c>
      <c r="B190" s="22" t="e">
        <f t="shared" si="55"/>
        <v>#VALUE!</v>
      </c>
      <c r="C190" s="22" t="e">
        <f t="shared" si="46"/>
        <v>#VALUE!</v>
      </c>
      <c r="D190" s="22" t="e">
        <f>VLOOKUP(C190,'2-SNR-Chan Cap vs Range'!$V$9:$Y$23,5)</f>
        <v>#VALUE!</v>
      </c>
      <c r="E190" s="22" t="e">
        <f>SUM(D$167:D190)/$A190</f>
        <v>#VALUE!</v>
      </c>
      <c r="F190" s="99" t="e">
        <f t="shared" si="47"/>
        <v>#VALUE!</v>
      </c>
      <c r="G190" s="22" t="e">
        <f t="shared" si="56"/>
        <v>#VALUE!</v>
      </c>
      <c r="H190" s="22" t="e">
        <f t="shared" si="48"/>
        <v>#VALUE!</v>
      </c>
      <c r="I190" s="22" t="e">
        <f>VLOOKUP(H190,'2-SNR-Chan Cap vs Range'!$V$9:$Y$23,5)</f>
        <v>#VALUE!</v>
      </c>
      <c r="J190" s="22" t="e">
        <f>SUM(I$167:I190)/$A190</f>
        <v>#VALUE!</v>
      </c>
      <c r="K190" s="99" t="e">
        <f t="shared" si="49"/>
        <v>#VALUE!</v>
      </c>
      <c r="L190" s="22" t="e">
        <f t="shared" si="57"/>
        <v>#VALUE!</v>
      </c>
      <c r="M190" s="22" t="e">
        <f t="shared" si="50"/>
        <v>#VALUE!</v>
      </c>
      <c r="N190" s="22" t="e">
        <f>VLOOKUP(M190,'2-SNR-Chan Cap vs Range'!$V$9:$Y$23,5)</f>
        <v>#VALUE!</v>
      </c>
      <c r="O190" s="22" t="e">
        <f>SUM(N$167:N190)/$A190</f>
        <v>#VALUE!</v>
      </c>
      <c r="P190" s="99" t="e">
        <f t="shared" si="51"/>
        <v>#VALUE!</v>
      </c>
      <c r="Q190" s="22" t="e">
        <f t="shared" si="58"/>
        <v>#VALUE!</v>
      </c>
      <c r="R190" s="22" t="e">
        <f t="shared" si="52"/>
        <v>#VALUE!</v>
      </c>
      <c r="S190" s="22" t="e">
        <f>VLOOKUP(R190,'2-SNR-Chan Cap vs Range'!$V$9:$Y$23,5)</f>
        <v>#VALUE!</v>
      </c>
      <c r="T190" s="22" t="e">
        <f>SUM(S$167:S190)/$A190</f>
        <v>#VALUE!</v>
      </c>
      <c r="U190" s="99" t="e">
        <f t="shared" si="53"/>
        <v>#VALUE!</v>
      </c>
    </row>
    <row r="191" spans="1:21">
      <c r="A191">
        <f t="shared" si="54"/>
        <v>25</v>
      </c>
      <c r="B191" s="15" t="str">
        <f>B17</f>
        <v>n/a</v>
      </c>
      <c r="C191" s="22">
        <f>B5</f>
        <v>5.7</v>
      </c>
      <c r="D191" s="22" t="e">
        <f>VLOOKUP(C191,'2-SNR-Chan Cap vs Range'!$V$9:$Y$23,5)</f>
        <v>#REF!</v>
      </c>
      <c r="E191" s="22" t="e">
        <f>SUM(D$167:D191)/$A191</f>
        <v>#VALUE!</v>
      </c>
      <c r="F191" s="99" t="e">
        <f t="shared" si="47"/>
        <v>#VALUE!</v>
      </c>
      <c r="G191" s="15" t="str">
        <f>C17</f>
        <v>n/a</v>
      </c>
      <c r="H191" s="22">
        <f>B5</f>
        <v>5.7</v>
      </c>
      <c r="I191" s="22" t="e">
        <f>VLOOKUP(H191,'2-SNR-Chan Cap vs Range'!$V$9:$Y$23,5)</f>
        <v>#REF!</v>
      </c>
      <c r="J191" s="22" t="e">
        <f>SUM(I$167:I191)/$A191</f>
        <v>#VALUE!</v>
      </c>
      <c r="K191" s="99" t="e">
        <f t="shared" si="49"/>
        <v>#VALUE!</v>
      </c>
      <c r="L191" s="15" t="str">
        <f>D17</f>
        <v>n/a</v>
      </c>
      <c r="M191" s="22">
        <f>B5</f>
        <v>5.7</v>
      </c>
      <c r="N191" s="22" t="e">
        <f>VLOOKUP(M191,'2-SNR-Chan Cap vs Range'!$V$9:$Y$23,5)</f>
        <v>#REF!</v>
      </c>
      <c r="O191" s="22" t="e">
        <f>SUM(N$167:N191)/$A191</f>
        <v>#VALUE!</v>
      </c>
      <c r="P191" s="99" t="e">
        <f t="shared" si="51"/>
        <v>#VALUE!</v>
      </c>
      <c r="Q191" s="15" t="str">
        <f>E17</f>
        <v>n/a</v>
      </c>
      <c r="R191" s="22">
        <f>B5</f>
        <v>5.7</v>
      </c>
      <c r="S191" s="22" t="e">
        <f>VLOOKUP(R191,'2-SNR-Chan Cap vs Range'!$V$9:$Y$23,5)</f>
        <v>#REF!</v>
      </c>
      <c r="T191" s="22" t="e">
        <f>SUM(S$167:S191)/$A191</f>
        <v>#VALUE!</v>
      </c>
      <c r="U191" s="99" t="e">
        <f t="shared" si="53"/>
        <v>#VALUE!</v>
      </c>
    </row>
    <row r="194" spans="1:6" ht="30">
      <c r="A194" s="126" t="s">
        <v>224</v>
      </c>
      <c r="B194" s="341" t="s">
        <v>60</v>
      </c>
      <c r="C194" s="133" t="str">
        <f>B43</f>
        <v>n/a</v>
      </c>
      <c r="D194" s="128" t="s">
        <v>114</v>
      </c>
      <c r="E194" s="134"/>
      <c r="F194" s="135"/>
    </row>
    <row r="195" spans="1:6" ht="45">
      <c r="B195" s="341" t="s">
        <v>95</v>
      </c>
      <c r="C195" s="341" t="s">
        <v>96</v>
      </c>
      <c r="D195" s="341" t="s">
        <v>6</v>
      </c>
      <c r="E195" s="125" t="s">
        <v>113</v>
      </c>
      <c r="F195" s="341" t="s">
        <v>97</v>
      </c>
    </row>
    <row r="196" spans="1:6">
      <c r="A196">
        <v>0</v>
      </c>
      <c r="B196" s="167">
        <v>0.05</v>
      </c>
      <c r="C196" s="22" t="e">
        <f>C$221+C$194*LOG10(B$221/B196)</f>
        <v>#VALUE!</v>
      </c>
      <c r="D196" s="22" t="e">
        <f>VLOOKUP(C196,'2-SNR-Chan Cap vs Range'!$V$9:$Y$23,5)</f>
        <v>#VALUE!</v>
      </c>
      <c r="E196" s="22" t="e">
        <f>D196</f>
        <v>#VALUE!</v>
      </c>
      <c r="F196" s="99" t="e">
        <f>B196^2/B$221^2</f>
        <v>#VALUE!</v>
      </c>
    </row>
    <row r="197" spans="1:6">
      <c r="A197">
        <f>A196+1</f>
        <v>1</v>
      </c>
      <c r="B197" s="22" t="e">
        <f>(B196^2+(B$221^2-B$196^2)/25)^0.5</f>
        <v>#VALUE!</v>
      </c>
      <c r="C197" s="22" t="e">
        <f t="shared" ref="C197:C220" si="59">C$221+C$194*LOG10(B$221/B197)</f>
        <v>#VALUE!</v>
      </c>
      <c r="D197" s="22" t="e">
        <f>VLOOKUP(C197,'2-SNR-Chan Cap vs Range'!$V$9:$Y$23,5)</f>
        <v>#VALUE!</v>
      </c>
      <c r="E197" s="22" t="e">
        <f t="shared" ref="E197:E221" si="60">D197</f>
        <v>#VALUE!</v>
      </c>
      <c r="F197" s="99" t="e">
        <f t="shared" ref="F197:F221" si="61">B197^2/B$221^2</f>
        <v>#VALUE!</v>
      </c>
    </row>
    <row r="198" spans="1:6">
      <c r="A198">
        <f t="shared" ref="A198:A221" si="62">A197+1</f>
        <v>2</v>
      </c>
      <c r="B198" s="22" t="e">
        <f t="shared" ref="B198:B220" si="63">(B197^2+(B$221^2-B$196^2)/25)^0.5</f>
        <v>#VALUE!</v>
      </c>
      <c r="C198" s="22" t="e">
        <f t="shared" si="59"/>
        <v>#VALUE!</v>
      </c>
      <c r="D198" s="22" t="e">
        <f>VLOOKUP(C198,'2-SNR-Chan Cap vs Range'!$V$9:$Y$23,5)</f>
        <v>#VALUE!</v>
      </c>
      <c r="E198" s="22" t="e">
        <f t="shared" si="60"/>
        <v>#VALUE!</v>
      </c>
      <c r="F198" s="99" t="e">
        <f t="shared" si="61"/>
        <v>#VALUE!</v>
      </c>
    </row>
    <row r="199" spans="1:6">
      <c r="A199">
        <f t="shared" si="62"/>
        <v>3</v>
      </c>
      <c r="B199" s="22" t="e">
        <f t="shared" si="63"/>
        <v>#VALUE!</v>
      </c>
      <c r="C199" s="22" t="e">
        <f t="shared" si="59"/>
        <v>#VALUE!</v>
      </c>
      <c r="D199" s="22" t="e">
        <f>VLOOKUP(C199,'2-SNR-Chan Cap vs Range'!$V$9:$Y$23,5)</f>
        <v>#VALUE!</v>
      </c>
      <c r="E199" s="22" t="e">
        <f t="shared" si="60"/>
        <v>#VALUE!</v>
      </c>
      <c r="F199" s="99" t="e">
        <f t="shared" si="61"/>
        <v>#VALUE!</v>
      </c>
    </row>
    <row r="200" spans="1:6">
      <c r="A200">
        <f t="shared" si="62"/>
        <v>4</v>
      </c>
      <c r="B200" s="22" t="e">
        <f t="shared" si="63"/>
        <v>#VALUE!</v>
      </c>
      <c r="C200" s="22" t="e">
        <f t="shared" si="59"/>
        <v>#VALUE!</v>
      </c>
      <c r="D200" s="22" t="e">
        <f>VLOOKUP(C200,'2-SNR-Chan Cap vs Range'!$V$9:$Y$23,5)</f>
        <v>#VALUE!</v>
      </c>
      <c r="E200" s="22" t="e">
        <f t="shared" si="60"/>
        <v>#VALUE!</v>
      </c>
      <c r="F200" s="99" t="e">
        <f t="shared" si="61"/>
        <v>#VALUE!</v>
      </c>
    </row>
    <row r="201" spans="1:6">
      <c r="A201">
        <f t="shared" si="62"/>
        <v>5</v>
      </c>
      <c r="B201" s="22" t="e">
        <f t="shared" si="63"/>
        <v>#VALUE!</v>
      </c>
      <c r="C201" s="22" t="e">
        <f t="shared" si="59"/>
        <v>#VALUE!</v>
      </c>
      <c r="D201" s="22" t="e">
        <f>VLOOKUP(C201,'2-SNR-Chan Cap vs Range'!$V$9:$Y$23,5)</f>
        <v>#VALUE!</v>
      </c>
      <c r="E201" s="22" t="e">
        <f t="shared" si="60"/>
        <v>#VALUE!</v>
      </c>
      <c r="F201" s="99" t="e">
        <f t="shared" si="61"/>
        <v>#VALUE!</v>
      </c>
    </row>
    <row r="202" spans="1:6">
      <c r="A202">
        <f t="shared" si="62"/>
        <v>6</v>
      </c>
      <c r="B202" s="22" t="e">
        <f t="shared" si="63"/>
        <v>#VALUE!</v>
      </c>
      <c r="C202" s="22" t="e">
        <f t="shared" si="59"/>
        <v>#VALUE!</v>
      </c>
      <c r="D202" s="22" t="e">
        <f>VLOOKUP(C202,'2-SNR-Chan Cap vs Range'!$V$9:$Y$23,5)</f>
        <v>#VALUE!</v>
      </c>
      <c r="E202" s="22" t="e">
        <f t="shared" si="60"/>
        <v>#VALUE!</v>
      </c>
      <c r="F202" s="99" t="e">
        <f t="shared" si="61"/>
        <v>#VALUE!</v>
      </c>
    </row>
    <row r="203" spans="1:6">
      <c r="A203">
        <f t="shared" si="62"/>
        <v>7</v>
      </c>
      <c r="B203" s="22" t="e">
        <f t="shared" si="63"/>
        <v>#VALUE!</v>
      </c>
      <c r="C203" s="22" t="e">
        <f t="shared" si="59"/>
        <v>#VALUE!</v>
      </c>
      <c r="D203" s="22" t="e">
        <f>VLOOKUP(C203,'2-SNR-Chan Cap vs Range'!$V$9:$Y$23,5)</f>
        <v>#VALUE!</v>
      </c>
      <c r="E203" s="22" t="e">
        <f t="shared" si="60"/>
        <v>#VALUE!</v>
      </c>
      <c r="F203" s="99" t="e">
        <f t="shared" si="61"/>
        <v>#VALUE!</v>
      </c>
    </row>
    <row r="204" spans="1:6">
      <c r="A204">
        <f t="shared" si="62"/>
        <v>8</v>
      </c>
      <c r="B204" s="22" t="e">
        <f t="shared" si="63"/>
        <v>#VALUE!</v>
      </c>
      <c r="C204" s="22" t="e">
        <f t="shared" si="59"/>
        <v>#VALUE!</v>
      </c>
      <c r="D204" s="22" t="e">
        <f>VLOOKUP(C204,'2-SNR-Chan Cap vs Range'!$V$9:$Y$23,5)</f>
        <v>#VALUE!</v>
      </c>
      <c r="E204" s="22" t="e">
        <f t="shared" si="60"/>
        <v>#VALUE!</v>
      </c>
      <c r="F204" s="99" t="e">
        <f t="shared" si="61"/>
        <v>#VALUE!</v>
      </c>
    </row>
    <row r="205" spans="1:6">
      <c r="A205">
        <f t="shared" si="62"/>
        <v>9</v>
      </c>
      <c r="B205" s="22" t="e">
        <f t="shared" si="63"/>
        <v>#VALUE!</v>
      </c>
      <c r="C205" s="22" t="e">
        <f t="shared" si="59"/>
        <v>#VALUE!</v>
      </c>
      <c r="D205" s="22" t="e">
        <f>VLOOKUP(C205,'2-SNR-Chan Cap vs Range'!$V$9:$Y$23,5)</f>
        <v>#VALUE!</v>
      </c>
      <c r="E205" s="22" t="e">
        <f t="shared" si="60"/>
        <v>#VALUE!</v>
      </c>
      <c r="F205" s="99" t="e">
        <f t="shared" si="61"/>
        <v>#VALUE!</v>
      </c>
    </row>
    <row r="206" spans="1:6">
      <c r="A206">
        <f t="shared" si="62"/>
        <v>10</v>
      </c>
      <c r="B206" s="22" t="e">
        <f t="shared" si="63"/>
        <v>#VALUE!</v>
      </c>
      <c r="C206" s="22" t="e">
        <f t="shared" si="59"/>
        <v>#VALUE!</v>
      </c>
      <c r="D206" s="22" t="e">
        <f>VLOOKUP(C206,'2-SNR-Chan Cap vs Range'!$V$9:$Y$23,5)</f>
        <v>#VALUE!</v>
      </c>
      <c r="E206" s="22" t="e">
        <f t="shared" si="60"/>
        <v>#VALUE!</v>
      </c>
      <c r="F206" s="99" t="e">
        <f t="shared" si="61"/>
        <v>#VALUE!</v>
      </c>
    </row>
    <row r="207" spans="1:6">
      <c r="A207">
        <f t="shared" si="62"/>
        <v>11</v>
      </c>
      <c r="B207" s="22" t="e">
        <f t="shared" si="63"/>
        <v>#VALUE!</v>
      </c>
      <c r="C207" s="22" t="e">
        <f t="shared" si="59"/>
        <v>#VALUE!</v>
      </c>
      <c r="D207" s="22" t="e">
        <f>VLOOKUP(C207,'2-SNR-Chan Cap vs Range'!$V$9:$Y$23,5)</f>
        <v>#VALUE!</v>
      </c>
      <c r="E207" s="22" t="e">
        <f t="shared" si="60"/>
        <v>#VALUE!</v>
      </c>
      <c r="F207" s="99" t="e">
        <f t="shared" si="61"/>
        <v>#VALUE!</v>
      </c>
    </row>
    <row r="208" spans="1:6">
      <c r="A208">
        <f t="shared" si="62"/>
        <v>12</v>
      </c>
      <c r="B208" s="22" t="e">
        <f t="shared" si="63"/>
        <v>#VALUE!</v>
      </c>
      <c r="C208" s="22" t="e">
        <f t="shared" si="59"/>
        <v>#VALUE!</v>
      </c>
      <c r="D208" s="22" t="e">
        <f>VLOOKUP(C208,'2-SNR-Chan Cap vs Range'!$V$9:$Y$23,5)</f>
        <v>#VALUE!</v>
      </c>
      <c r="E208" s="22" t="e">
        <f t="shared" si="60"/>
        <v>#VALUE!</v>
      </c>
      <c r="F208" s="99" t="e">
        <f t="shared" si="61"/>
        <v>#VALUE!</v>
      </c>
    </row>
    <row r="209" spans="1:6">
      <c r="A209">
        <f t="shared" si="62"/>
        <v>13</v>
      </c>
      <c r="B209" s="22" t="e">
        <f t="shared" si="63"/>
        <v>#VALUE!</v>
      </c>
      <c r="C209" s="22" t="e">
        <f t="shared" si="59"/>
        <v>#VALUE!</v>
      </c>
      <c r="D209" s="22" t="e">
        <f>VLOOKUP(C209,'2-SNR-Chan Cap vs Range'!$V$9:$Y$23,5)</f>
        <v>#VALUE!</v>
      </c>
      <c r="E209" s="22" t="e">
        <f t="shared" si="60"/>
        <v>#VALUE!</v>
      </c>
      <c r="F209" s="99" t="e">
        <f t="shared" si="61"/>
        <v>#VALUE!</v>
      </c>
    </row>
    <row r="210" spans="1:6">
      <c r="A210">
        <f t="shared" si="62"/>
        <v>14</v>
      </c>
      <c r="B210" s="22" t="e">
        <f t="shared" si="63"/>
        <v>#VALUE!</v>
      </c>
      <c r="C210" s="22" t="e">
        <f t="shared" si="59"/>
        <v>#VALUE!</v>
      </c>
      <c r="D210" s="22" t="e">
        <f>VLOOKUP(C210,'2-SNR-Chan Cap vs Range'!$V$9:$Y$23,5)</f>
        <v>#VALUE!</v>
      </c>
      <c r="E210" s="22" t="e">
        <f t="shared" si="60"/>
        <v>#VALUE!</v>
      </c>
      <c r="F210" s="99" t="e">
        <f t="shared" si="61"/>
        <v>#VALUE!</v>
      </c>
    </row>
    <row r="211" spans="1:6">
      <c r="A211">
        <f t="shared" si="62"/>
        <v>15</v>
      </c>
      <c r="B211" s="22" t="e">
        <f t="shared" si="63"/>
        <v>#VALUE!</v>
      </c>
      <c r="C211" s="22" t="e">
        <f t="shared" si="59"/>
        <v>#VALUE!</v>
      </c>
      <c r="D211" s="22" t="e">
        <f>VLOOKUP(C211,'2-SNR-Chan Cap vs Range'!$V$9:$Y$23,5)</f>
        <v>#VALUE!</v>
      </c>
      <c r="E211" s="22" t="e">
        <f t="shared" si="60"/>
        <v>#VALUE!</v>
      </c>
      <c r="F211" s="99" t="e">
        <f t="shared" si="61"/>
        <v>#VALUE!</v>
      </c>
    </row>
    <row r="212" spans="1:6">
      <c r="A212">
        <f t="shared" si="62"/>
        <v>16</v>
      </c>
      <c r="B212" s="22" t="e">
        <f t="shared" si="63"/>
        <v>#VALUE!</v>
      </c>
      <c r="C212" s="22" t="e">
        <f t="shared" si="59"/>
        <v>#VALUE!</v>
      </c>
      <c r="D212" s="22" t="e">
        <f>VLOOKUP(C212,'2-SNR-Chan Cap vs Range'!$V$9:$Y$23,5)</f>
        <v>#VALUE!</v>
      </c>
      <c r="E212" s="22" t="e">
        <f t="shared" si="60"/>
        <v>#VALUE!</v>
      </c>
      <c r="F212" s="99" t="e">
        <f t="shared" si="61"/>
        <v>#VALUE!</v>
      </c>
    </row>
    <row r="213" spans="1:6">
      <c r="A213">
        <f t="shared" si="62"/>
        <v>17</v>
      </c>
      <c r="B213" s="22" t="e">
        <f t="shared" si="63"/>
        <v>#VALUE!</v>
      </c>
      <c r="C213" s="22" t="e">
        <f t="shared" si="59"/>
        <v>#VALUE!</v>
      </c>
      <c r="D213" s="22" t="e">
        <f>VLOOKUP(C213,'2-SNR-Chan Cap vs Range'!$V$9:$Y$23,5)</f>
        <v>#VALUE!</v>
      </c>
      <c r="E213" s="22" t="e">
        <f t="shared" si="60"/>
        <v>#VALUE!</v>
      </c>
      <c r="F213" s="99" t="e">
        <f t="shared" si="61"/>
        <v>#VALUE!</v>
      </c>
    </row>
    <row r="214" spans="1:6">
      <c r="A214">
        <f t="shared" si="62"/>
        <v>18</v>
      </c>
      <c r="B214" s="22" t="e">
        <f t="shared" si="63"/>
        <v>#VALUE!</v>
      </c>
      <c r="C214" s="22" t="e">
        <f t="shared" si="59"/>
        <v>#VALUE!</v>
      </c>
      <c r="D214" s="22" t="e">
        <f>VLOOKUP(C214,'2-SNR-Chan Cap vs Range'!$V$9:$Y$23,5)</f>
        <v>#VALUE!</v>
      </c>
      <c r="E214" s="22" t="e">
        <f t="shared" si="60"/>
        <v>#VALUE!</v>
      </c>
      <c r="F214" s="99" t="e">
        <f t="shared" si="61"/>
        <v>#VALUE!</v>
      </c>
    </row>
    <row r="215" spans="1:6">
      <c r="A215">
        <f t="shared" si="62"/>
        <v>19</v>
      </c>
      <c r="B215" s="22" t="e">
        <f t="shared" si="63"/>
        <v>#VALUE!</v>
      </c>
      <c r="C215" s="22" t="e">
        <f t="shared" si="59"/>
        <v>#VALUE!</v>
      </c>
      <c r="D215" s="22" t="e">
        <f>VLOOKUP(C215,'2-SNR-Chan Cap vs Range'!$V$9:$Y$23,5)</f>
        <v>#VALUE!</v>
      </c>
      <c r="E215" s="22" t="e">
        <f t="shared" si="60"/>
        <v>#VALUE!</v>
      </c>
      <c r="F215" s="99" t="e">
        <f t="shared" si="61"/>
        <v>#VALUE!</v>
      </c>
    </row>
    <row r="216" spans="1:6">
      <c r="A216">
        <f t="shared" si="62"/>
        <v>20</v>
      </c>
      <c r="B216" s="22" t="e">
        <f t="shared" si="63"/>
        <v>#VALUE!</v>
      </c>
      <c r="C216" s="22" t="e">
        <f t="shared" si="59"/>
        <v>#VALUE!</v>
      </c>
      <c r="D216" s="22" t="e">
        <f>VLOOKUP(C216,'2-SNR-Chan Cap vs Range'!$V$9:$Y$23,5)</f>
        <v>#VALUE!</v>
      </c>
      <c r="E216" s="22" t="e">
        <f t="shared" si="60"/>
        <v>#VALUE!</v>
      </c>
      <c r="F216" s="99" t="e">
        <f t="shared" si="61"/>
        <v>#VALUE!</v>
      </c>
    </row>
    <row r="217" spans="1:6">
      <c r="A217">
        <f t="shared" si="62"/>
        <v>21</v>
      </c>
      <c r="B217" s="22" t="e">
        <f t="shared" si="63"/>
        <v>#VALUE!</v>
      </c>
      <c r="C217" s="22" t="e">
        <f t="shared" si="59"/>
        <v>#VALUE!</v>
      </c>
      <c r="D217" s="22" t="e">
        <f>VLOOKUP(C217,'2-SNR-Chan Cap vs Range'!$V$9:$Y$23,5)</f>
        <v>#VALUE!</v>
      </c>
      <c r="E217" s="22" t="e">
        <f t="shared" si="60"/>
        <v>#VALUE!</v>
      </c>
      <c r="F217" s="99" t="e">
        <f t="shared" si="61"/>
        <v>#VALUE!</v>
      </c>
    </row>
    <row r="218" spans="1:6">
      <c r="A218">
        <f t="shared" si="62"/>
        <v>22</v>
      </c>
      <c r="B218" s="22" t="e">
        <f t="shared" si="63"/>
        <v>#VALUE!</v>
      </c>
      <c r="C218" s="22" t="e">
        <f t="shared" si="59"/>
        <v>#VALUE!</v>
      </c>
      <c r="D218" s="22" t="e">
        <f>VLOOKUP(C218,'2-SNR-Chan Cap vs Range'!$V$9:$Y$23,5)</f>
        <v>#VALUE!</v>
      </c>
      <c r="E218" s="22" t="e">
        <f t="shared" si="60"/>
        <v>#VALUE!</v>
      </c>
      <c r="F218" s="99" t="e">
        <f t="shared" si="61"/>
        <v>#VALUE!</v>
      </c>
    </row>
    <row r="219" spans="1:6">
      <c r="A219">
        <f t="shared" si="62"/>
        <v>23</v>
      </c>
      <c r="B219" s="22" t="e">
        <f t="shared" si="63"/>
        <v>#VALUE!</v>
      </c>
      <c r="C219" s="22" t="e">
        <f t="shared" si="59"/>
        <v>#VALUE!</v>
      </c>
      <c r="D219" s="22" t="e">
        <f>VLOOKUP(C219,'2-SNR-Chan Cap vs Range'!$V$9:$Y$23,5)</f>
        <v>#VALUE!</v>
      </c>
      <c r="E219" s="22" t="e">
        <f t="shared" si="60"/>
        <v>#VALUE!</v>
      </c>
      <c r="F219" s="99" t="e">
        <f t="shared" si="61"/>
        <v>#VALUE!</v>
      </c>
    </row>
    <row r="220" spans="1:6">
      <c r="A220">
        <f t="shared" si="62"/>
        <v>24</v>
      </c>
      <c r="B220" s="22" t="e">
        <f t="shared" si="63"/>
        <v>#VALUE!</v>
      </c>
      <c r="C220" s="22" t="e">
        <f t="shared" si="59"/>
        <v>#VALUE!</v>
      </c>
      <c r="D220" s="22" t="e">
        <f>VLOOKUP(C220,'2-SNR-Chan Cap vs Range'!$V$9:$Y$23,5)</f>
        <v>#VALUE!</v>
      </c>
      <c r="E220" s="22" t="e">
        <f t="shared" si="60"/>
        <v>#VALUE!</v>
      </c>
      <c r="F220" s="99" t="e">
        <f t="shared" si="61"/>
        <v>#VALUE!</v>
      </c>
    </row>
    <row r="221" spans="1:6">
      <c r="A221">
        <f t="shared" si="62"/>
        <v>25</v>
      </c>
      <c r="B221" s="168" t="str">
        <f>B18</f>
        <v>n/a</v>
      </c>
      <c r="C221" s="22">
        <f>B5</f>
        <v>5.7</v>
      </c>
      <c r="D221" s="22" t="e">
        <f>VLOOKUP(C221,'2-SNR-Chan Cap vs Range'!$V$9:$Y$23,5)</f>
        <v>#REF!</v>
      </c>
      <c r="E221" s="22" t="e">
        <f t="shared" si="60"/>
        <v>#REF!</v>
      </c>
      <c r="F221" s="99" t="e">
        <f t="shared" si="61"/>
        <v>#VALUE!</v>
      </c>
    </row>
  </sheetData>
  <sheetProtection password="CF7A" sheet="1" objects="1" scenarios="1"/>
  <dataValidations count="4">
    <dataValidation type="list" allowBlank="1" showInputMessage="1" showErrorMessage="1" sqref="A134 A20 A104 A74 A37 A44 A12 A28">
      <formula1>"Erceg-SUI -Modified,Hata-Okumura,COST231-Hata,WINNER II"</formula1>
    </dataValidation>
    <dataValidation type="list" allowBlank="1" showInputMessage="1" showErrorMessage="1" sqref="A22:A24 A39:A41 A14:A16 A30:A32">
      <formula1>"Erceg-SUI -Mod,Hata-Okumura,COST231-Hata,WINNER II"</formula1>
    </dataValidation>
    <dataValidation type="list" allowBlank="1" showInputMessage="1" showErrorMessage="1" sqref="A21 A38 A13 A29">
      <formula1>"Erceg-SUI -Modified,Erceg-SUI-Original,Hata-Okumura,COST231-Hata,WINNER II"</formula1>
    </dataValidation>
    <dataValidation type="decimal" allowBlank="1" showInputMessage="1" showErrorMessage="1" sqref="I5">
      <formula1>0.5</formula1>
      <formula2>20</formula2>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dimension ref="A1:AJ221"/>
  <sheetViews>
    <sheetView topLeftCell="A5" zoomScale="90" zoomScaleNormal="90" workbookViewId="0">
      <selection activeCell="D46" sqref="D46"/>
    </sheetView>
  </sheetViews>
  <sheetFormatPr defaultRowHeight="15"/>
  <cols>
    <col min="1" max="1" width="32.7109375" customWidth="1"/>
    <col min="2" max="19" width="12.7109375" customWidth="1"/>
    <col min="20" max="20" width="12.5703125" customWidth="1"/>
    <col min="21" max="24" width="12.7109375" customWidth="1"/>
    <col min="25" max="25" width="12.5703125" customWidth="1"/>
    <col min="26" max="38" width="12.7109375" customWidth="1"/>
    <col min="42" max="42" width="14.140625" customWidth="1"/>
  </cols>
  <sheetData>
    <row r="1" spans="1:36" ht="18.75">
      <c r="A1" s="194" t="s">
        <v>169</v>
      </c>
    </row>
    <row r="2" spans="1:36" ht="21.75" customHeight="1">
      <c r="A2" s="88" t="s">
        <v>516</v>
      </c>
      <c r="B2" s="81"/>
      <c r="C2" s="81"/>
      <c r="D2" s="81"/>
      <c r="E2" s="81"/>
      <c r="F2" s="81"/>
      <c r="G2" s="81"/>
      <c r="H2" s="81"/>
      <c r="I2" s="81"/>
      <c r="J2" s="74"/>
    </row>
    <row r="3" spans="1:36">
      <c r="A3" s="100" t="s">
        <v>61</v>
      </c>
      <c r="B3" s="101">
        <f>'1-Range_Estimator'!B3</f>
        <v>2450</v>
      </c>
      <c r="C3" s="102" t="s">
        <v>65</v>
      </c>
      <c r="D3" s="103"/>
      <c r="E3" s="104" t="s">
        <v>63</v>
      </c>
      <c r="F3" s="101">
        <f>'1-Range_Estimator'!F3</f>
        <v>7</v>
      </c>
      <c r="G3" s="102" t="s">
        <v>14</v>
      </c>
      <c r="H3" s="39"/>
      <c r="I3" s="2"/>
    </row>
    <row r="4" spans="1:36">
      <c r="A4" s="105" t="s">
        <v>62</v>
      </c>
      <c r="B4" s="110">
        <f>'1-Range_Estimator'!B4</f>
        <v>133.27940008672039</v>
      </c>
      <c r="C4" s="107" t="s">
        <v>66</v>
      </c>
      <c r="D4" s="108"/>
      <c r="E4" s="109" t="s">
        <v>64</v>
      </c>
      <c r="F4" s="106">
        <f>'1-Range_Estimator'!F4</f>
        <v>2</v>
      </c>
      <c r="G4" s="107" t="s">
        <v>14</v>
      </c>
      <c r="H4" s="6"/>
      <c r="I4" s="9"/>
    </row>
    <row r="5" spans="1:36">
      <c r="A5" s="17" t="s">
        <v>459</v>
      </c>
      <c r="B5" s="110">
        <f>'1-Range_Estimator'!B5</f>
        <v>5.7</v>
      </c>
      <c r="C5" s="107" t="s">
        <v>66</v>
      </c>
      <c r="D5" s="108"/>
      <c r="E5" s="109" t="s">
        <v>74</v>
      </c>
      <c r="F5" s="106" t="str">
        <f>'1-Range_Estimator'!F5</f>
        <v>Outdoor</v>
      </c>
      <c r="G5" s="111"/>
      <c r="H5" s="41" t="s">
        <v>476</v>
      </c>
      <c r="I5" s="295">
        <f>IF('C-SG Ntwrk-Input-BS-Output '!C25="Mbps/sq-mi",0.62137^2*'C-SG Ntwrk-Input-BS-Output '!B25/'C-SG Ntwrk-Input-BS-Output '!B13/(1-'C-SG Ntwrk-Input-BS-Output '!B16)/3,'C-SG Ntwrk-Input-BS-Output '!B25/'C-SG Ntwrk-Input-BS-Output '!B13/(1-'C-SG Ntwrk-Input-BS-Output '!B16)/3)</f>
        <v>4.0532853138362225E-2</v>
      </c>
    </row>
    <row r="6" spans="1:36">
      <c r="A6" s="112" t="s">
        <v>67</v>
      </c>
      <c r="B6" s="113">
        <f>'1-Range_Estimator'!B6</f>
        <v>1</v>
      </c>
      <c r="C6" s="114"/>
      <c r="D6" s="115"/>
      <c r="E6" s="159" t="str">
        <f>IF($I$6="UL","Effective UL Channel BW =","Effective DL Channel BW =")</f>
        <v>Effective UL Channel BW =</v>
      </c>
      <c r="F6" s="535">
        <f>'C-SG Ntwrk-Input-BS-Output '!B13</f>
        <v>10</v>
      </c>
      <c r="G6" s="160" t="s">
        <v>65</v>
      </c>
      <c r="H6" s="159" t="s">
        <v>444</v>
      </c>
      <c r="I6" s="553" t="str">
        <f>'C-SG Ntwrk-Input-BS-Output '!C22</f>
        <v>UL</v>
      </c>
    </row>
    <row r="7" spans="1:36" ht="30">
      <c r="A7" s="78"/>
      <c r="B7" s="243" t="s">
        <v>60</v>
      </c>
      <c r="C7" s="243" t="s">
        <v>59</v>
      </c>
      <c r="D7" s="244" t="s">
        <v>36</v>
      </c>
      <c r="E7" s="245" t="s">
        <v>75</v>
      </c>
      <c r="F7" s="245" t="s">
        <v>76</v>
      </c>
      <c r="G7" s="3" t="s">
        <v>0</v>
      </c>
      <c r="H7" s="3" t="s">
        <v>1</v>
      </c>
      <c r="I7" s="3" t="s">
        <v>2</v>
      </c>
      <c r="U7" s="161"/>
      <c r="V7" s="808"/>
      <c r="W7" s="155"/>
      <c r="X7" s="155"/>
      <c r="Y7" s="162"/>
      <c r="Z7" s="162" t="s">
        <v>475</v>
      </c>
      <c r="AA7" s="536">
        <f>'B-Wireless-Input-System Gain'!M27</f>
        <v>20</v>
      </c>
      <c r="AB7" s="267"/>
      <c r="AD7" s="161"/>
      <c r="AE7" s="155"/>
      <c r="AF7" s="155"/>
      <c r="AG7" s="155"/>
      <c r="AH7" s="155"/>
      <c r="AI7" s="162" t="s">
        <v>474</v>
      </c>
      <c r="AJ7" s="537">
        <f>'B-Wireless-Input-System Gain'!C27</f>
        <v>20</v>
      </c>
    </row>
    <row r="8" spans="1:36" ht="15" customHeight="1">
      <c r="A8" s="80" t="s">
        <v>11</v>
      </c>
      <c r="B8" s="25">
        <f>'1-Range_Estimator'!B46</f>
        <v>17.71</v>
      </c>
      <c r="C8" s="25">
        <f>'1-Range_Estimator'!C46</f>
        <v>17.71</v>
      </c>
      <c r="D8" s="25">
        <f>'1-Range_Estimator'!D46</f>
        <v>18.28</v>
      </c>
      <c r="E8" s="25">
        <f>'1-Range_Estimator'!E46</f>
        <v>16.28</v>
      </c>
      <c r="F8" s="25">
        <f>'1-Range_Estimator'!F46</f>
        <v>16.28</v>
      </c>
      <c r="G8" s="25">
        <f>'1-Range_Estimator'!G46</f>
        <v>18.28</v>
      </c>
      <c r="H8" s="25">
        <f>'1-Range_Estimator'!H46</f>
        <v>16.28</v>
      </c>
      <c r="I8" s="25">
        <f>'1-Range_Estimator'!I46</f>
        <v>16.28</v>
      </c>
      <c r="U8" s="169"/>
      <c r="V8" s="810" t="s">
        <v>467</v>
      </c>
      <c r="W8" s="163" t="s">
        <v>469</v>
      </c>
      <c r="X8" s="87" t="s">
        <v>473</v>
      </c>
      <c r="Y8" s="546" t="s">
        <v>470</v>
      </c>
      <c r="Z8" s="3" t="s">
        <v>163</v>
      </c>
      <c r="AA8" s="63" t="s">
        <v>6</v>
      </c>
      <c r="AB8" s="552"/>
      <c r="AD8" s="169"/>
      <c r="AE8" s="163" t="s">
        <v>468</v>
      </c>
      <c r="AF8" s="163" t="s">
        <v>471</v>
      </c>
      <c r="AG8" s="87" t="s">
        <v>473</v>
      </c>
      <c r="AH8" s="546" t="s">
        <v>472</v>
      </c>
      <c r="AI8" s="546" t="s">
        <v>162</v>
      </c>
      <c r="AJ8" s="546" t="s">
        <v>5</v>
      </c>
    </row>
    <row r="9" spans="1:36" ht="15" customHeight="1">
      <c r="A9" s="53" t="s">
        <v>94</v>
      </c>
      <c r="B9" s="25">
        <f t="shared" ref="B9:I9" si="0">$B$4-B8</f>
        <v>115.56940008672038</v>
      </c>
      <c r="C9" s="25">
        <f t="shared" si="0"/>
        <v>115.56940008672038</v>
      </c>
      <c r="D9" s="25">
        <f t="shared" si="0"/>
        <v>114.99940008672039</v>
      </c>
      <c r="E9" s="25">
        <f t="shared" si="0"/>
        <v>116.99940008672039</v>
      </c>
      <c r="F9" s="25">
        <f t="shared" si="0"/>
        <v>116.99940008672039</v>
      </c>
      <c r="G9" s="25">
        <f t="shared" si="0"/>
        <v>114.99940008672039</v>
      </c>
      <c r="H9" s="25">
        <f t="shared" si="0"/>
        <v>116.99940008672039</v>
      </c>
      <c r="I9" s="25">
        <f t="shared" si="0"/>
        <v>116.99940008672039</v>
      </c>
      <c r="U9" s="164"/>
      <c r="V9" s="166" t="str">
        <f>'B-Wireless-Input-System Gain'!V27</f>
        <v>n/a</v>
      </c>
      <c r="W9" s="166">
        <f>'B-Wireless-Input-System Gain'!W27</f>
        <v>0</v>
      </c>
      <c r="X9" s="545">
        <f>'B-Wireless-Input-System Gain'!X27</f>
        <v>0</v>
      </c>
      <c r="Y9" s="811">
        <f>IF('B-Wireless-Input-System Gain'!AA27=0,0,'B-Wireless-Input-System Gain'!AA27+10)</f>
        <v>5.7</v>
      </c>
      <c r="Z9" s="168">
        <f>'B-Wireless-Input-System Gain'!Y27</f>
        <v>0</v>
      </c>
      <c r="AA9" s="550">
        <f t="shared" ref="AA9:AA23" si="1">AA$7*Z9</f>
        <v>0</v>
      </c>
      <c r="AB9" s="551"/>
      <c r="AD9" s="164"/>
      <c r="AE9" s="166" t="str">
        <f>'B-Wireless-Input-System Gain'!AC27</f>
        <v>n/a</v>
      </c>
      <c r="AF9" s="166">
        <f>'B-Wireless-Input-System Gain'!AD27</f>
        <v>0</v>
      </c>
      <c r="AG9" s="545">
        <f>'B-Wireless-Input-System Gain'!AE27</f>
        <v>0</v>
      </c>
      <c r="AH9" s="811">
        <f>IF('B-Wireless-Input-System Gain'!AH27=0,0,'B-Wireless-Input-System Gain'!AH27+10)</f>
        <v>5.7</v>
      </c>
      <c r="AI9" s="168">
        <f>'B-Wireless-Input-System Gain'!AF27</f>
        <v>0</v>
      </c>
      <c r="AJ9" s="168">
        <f t="shared" ref="AJ9:AJ23" si="2">$AJ$7*AI9</f>
        <v>0</v>
      </c>
    </row>
    <row r="10" spans="1:36" ht="15.75">
      <c r="A10" s="71" t="s">
        <v>83</v>
      </c>
      <c r="B10" s="72"/>
      <c r="C10" s="72"/>
      <c r="D10" s="72"/>
      <c r="E10" s="72"/>
      <c r="F10" s="73"/>
      <c r="G10" s="72"/>
      <c r="H10" s="72"/>
      <c r="I10" s="74"/>
      <c r="U10" s="164"/>
      <c r="V10" s="166" t="str">
        <f>'B-Wireless-Input-System Gain'!V28</f>
        <v>n/a</v>
      </c>
      <c r="W10" s="166">
        <f>'B-Wireless-Input-System Gain'!W28</f>
        <v>0</v>
      </c>
      <c r="X10" s="545">
        <f>'B-Wireless-Input-System Gain'!X28</f>
        <v>0</v>
      </c>
      <c r="Y10" s="811">
        <f>IF('B-Wireless-Input-System Gain'!AA28=0,0,'B-Wireless-Input-System Gain'!AA28+10)</f>
        <v>5.7</v>
      </c>
      <c r="Z10" s="168">
        <f>'B-Wireless-Input-System Gain'!Y28</f>
        <v>0</v>
      </c>
      <c r="AA10" s="550">
        <f t="shared" si="1"/>
        <v>0</v>
      </c>
      <c r="AB10" s="551"/>
      <c r="AD10" s="164"/>
      <c r="AE10" s="166" t="str">
        <f>'B-Wireless-Input-System Gain'!AC28</f>
        <v>n/a</v>
      </c>
      <c r="AF10" s="166">
        <f>'B-Wireless-Input-System Gain'!AD28</f>
        <v>0</v>
      </c>
      <c r="AG10" s="545">
        <f>'B-Wireless-Input-System Gain'!AE28</f>
        <v>0</v>
      </c>
      <c r="AH10" s="811">
        <f>IF('B-Wireless-Input-System Gain'!AH28=0,0,'B-Wireless-Input-System Gain'!AH28+10)</f>
        <v>5.7</v>
      </c>
      <c r="AI10" s="168">
        <f>'B-Wireless-Input-System Gain'!AF28</f>
        <v>0</v>
      </c>
      <c r="AJ10" s="168">
        <f t="shared" si="2"/>
        <v>0</v>
      </c>
    </row>
    <row r="11" spans="1:36" ht="30">
      <c r="A11" s="68" t="s">
        <v>23</v>
      </c>
      <c r="B11" s="243" t="s">
        <v>60</v>
      </c>
      <c r="C11" s="243" t="s">
        <v>59</v>
      </c>
      <c r="D11" s="69" t="s">
        <v>36</v>
      </c>
      <c r="E11" s="245" t="s">
        <v>75</v>
      </c>
      <c r="F11" s="70" t="s">
        <v>76</v>
      </c>
      <c r="G11" s="68" t="s">
        <v>0</v>
      </c>
      <c r="H11" s="68" t="s">
        <v>1</v>
      </c>
      <c r="I11" s="68" t="s">
        <v>2</v>
      </c>
      <c r="U11" s="164"/>
      <c r="V11" s="166" t="str">
        <f>'B-Wireless-Input-System Gain'!V29</f>
        <v>n/a</v>
      </c>
      <c r="W11" s="166">
        <f>'B-Wireless-Input-System Gain'!W29</f>
        <v>0</v>
      </c>
      <c r="X11" s="545">
        <f>'B-Wireless-Input-System Gain'!X29</f>
        <v>0</v>
      </c>
      <c r="Y11" s="811">
        <f>IF('B-Wireless-Input-System Gain'!AA29=0,0,'B-Wireless-Input-System Gain'!AA29+10)</f>
        <v>5.7</v>
      </c>
      <c r="Z11" s="168">
        <f>'B-Wireless-Input-System Gain'!Y29</f>
        <v>0</v>
      </c>
      <c r="AA11" s="550">
        <f t="shared" si="1"/>
        <v>0</v>
      </c>
      <c r="AB11" s="551"/>
      <c r="AD11" s="164"/>
      <c r="AE11" s="166" t="str">
        <f>'B-Wireless-Input-System Gain'!AC29</f>
        <v>n/a</v>
      </c>
      <c r="AF11" s="166">
        <f>'B-Wireless-Input-System Gain'!AD29</f>
        <v>0</v>
      </c>
      <c r="AG11" s="545">
        <f>'B-Wireless-Input-System Gain'!AE29</f>
        <v>0</v>
      </c>
      <c r="AH11" s="811">
        <f>IF('B-Wireless-Input-System Gain'!AH29=0,0,'B-Wireless-Input-System Gain'!AH29+10)</f>
        <v>5.7</v>
      </c>
      <c r="AI11" s="168">
        <f>'B-Wireless-Input-System Gain'!AF29</f>
        <v>0</v>
      </c>
      <c r="AJ11" s="168">
        <f t="shared" si="2"/>
        <v>0</v>
      </c>
    </row>
    <row r="12" spans="1:36" ht="15" customHeight="1">
      <c r="A12" s="38" t="s">
        <v>180</v>
      </c>
      <c r="B12" s="248" t="s">
        <v>182</v>
      </c>
      <c r="C12" s="248" t="s">
        <v>182</v>
      </c>
      <c r="D12" s="248" t="s">
        <v>182</v>
      </c>
      <c r="E12" s="248" t="s">
        <v>182</v>
      </c>
      <c r="F12" s="248" t="s">
        <v>182</v>
      </c>
      <c r="G12" s="22">
        <f>'1-Range_Estimator'!G13</f>
        <v>0.32931579887470902</v>
      </c>
      <c r="H12" s="22">
        <f>'1-Range_Estimator'!H13</f>
        <v>0.35291948129038198</v>
      </c>
      <c r="I12" s="22">
        <f>'1-Range_Estimator'!I13</f>
        <v>0.35273133607005103</v>
      </c>
      <c r="U12" s="164"/>
      <c r="V12" s="166" t="str">
        <f>'B-Wireless-Input-System Gain'!V30</f>
        <v>n/a</v>
      </c>
      <c r="W12" s="166">
        <f>'B-Wireless-Input-System Gain'!W30</f>
        <v>0</v>
      </c>
      <c r="X12" s="545">
        <f>'B-Wireless-Input-System Gain'!X30</f>
        <v>0</v>
      </c>
      <c r="Y12" s="811">
        <f>IF('B-Wireless-Input-System Gain'!AA30=0,0,'B-Wireless-Input-System Gain'!AA30+10)</f>
        <v>5.7</v>
      </c>
      <c r="Z12" s="168">
        <f>'B-Wireless-Input-System Gain'!Y30</f>
        <v>0</v>
      </c>
      <c r="AA12" s="550">
        <f t="shared" si="1"/>
        <v>0</v>
      </c>
      <c r="AB12" s="551"/>
      <c r="AD12" s="164"/>
      <c r="AE12" s="166" t="str">
        <f>'B-Wireless-Input-System Gain'!AC30</f>
        <v>n/a</v>
      </c>
      <c r="AF12" s="166">
        <f>'B-Wireless-Input-System Gain'!AD30</f>
        <v>0</v>
      </c>
      <c r="AG12" s="545">
        <f>'B-Wireless-Input-System Gain'!AE30</f>
        <v>0</v>
      </c>
      <c r="AH12" s="811">
        <f>IF('B-Wireless-Input-System Gain'!AH30=0,0,'B-Wireless-Input-System Gain'!AH30+10)</f>
        <v>5.7</v>
      </c>
      <c r="AI12" s="168">
        <f>'B-Wireless-Input-System Gain'!AF30</f>
        <v>0</v>
      </c>
      <c r="AJ12" s="168">
        <f t="shared" si="2"/>
        <v>0</v>
      </c>
    </row>
    <row r="13" spans="1:36">
      <c r="A13" s="38" t="s">
        <v>101</v>
      </c>
      <c r="B13" s="248" t="s">
        <v>182</v>
      </c>
      <c r="C13" s="248" t="s">
        <v>182</v>
      </c>
      <c r="D13" s="248" t="s">
        <v>182</v>
      </c>
      <c r="E13" s="248" t="s">
        <v>182</v>
      </c>
      <c r="F13" s="248" t="s">
        <v>182</v>
      </c>
      <c r="G13" s="22">
        <f>'1-Range_Estimator'!G14</f>
        <v>0.34634702071862672</v>
      </c>
      <c r="H13" s="22">
        <f>'1-Range_Estimator'!H14</f>
        <v>0.3686122290308943</v>
      </c>
      <c r="I13" s="22">
        <f>'1-Range_Estimator'!I14</f>
        <v>0.36676096899960448</v>
      </c>
      <c r="U13" s="164"/>
      <c r="V13" s="166" t="str">
        <f>'B-Wireless-Input-System Gain'!V31</f>
        <v>QPSK</v>
      </c>
      <c r="W13" s="166">
        <f>'B-Wireless-Input-System Gain'!W31</f>
        <v>2</v>
      </c>
      <c r="X13" s="343">
        <f>'B-Wireless-Input-System Gain'!X31</f>
        <v>8.3333333333333329E-2</v>
      </c>
      <c r="Y13" s="811">
        <f>IF('B-Wireless-Input-System Gain'!AA31=0,0,'B-Wireless-Input-System Gain'!AA31+10)</f>
        <v>5.7</v>
      </c>
      <c r="Z13" s="168">
        <f>'B-Wireless-Input-System Gain'!Y31</f>
        <v>0.16666666666666666</v>
      </c>
      <c r="AA13" s="550">
        <f t="shared" si="1"/>
        <v>3.333333333333333</v>
      </c>
      <c r="AB13" s="551"/>
      <c r="AD13" s="164"/>
      <c r="AE13" s="166" t="str">
        <f>'B-Wireless-Input-System Gain'!AC31</f>
        <v>QPSK</v>
      </c>
      <c r="AF13" s="166">
        <f>'B-Wireless-Input-System Gain'!AD31</f>
        <v>2</v>
      </c>
      <c r="AG13" s="545">
        <f>'B-Wireless-Input-System Gain'!AE31</f>
        <v>8.3333333333333329E-2</v>
      </c>
      <c r="AH13" s="811">
        <f>IF('B-Wireless-Input-System Gain'!AH31=0,0,'B-Wireless-Input-System Gain'!AH31+10)</f>
        <v>5.7</v>
      </c>
      <c r="AI13" s="168">
        <f>'B-Wireless-Input-System Gain'!AF31</f>
        <v>0.16666666666666666</v>
      </c>
      <c r="AJ13" s="168">
        <f t="shared" si="2"/>
        <v>3.333333333333333</v>
      </c>
    </row>
    <row r="14" spans="1:36">
      <c r="A14" s="38" t="s">
        <v>30</v>
      </c>
      <c r="B14" s="22" t="str">
        <f>'1-Range_Estimator'!B15</f>
        <v>n/a</v>
      </c>
      <c r="C14" s="22" t="str">
        <f>'1-Range_Estimator'!C15</f>
        <v>n/a</v>
      </c>
      <c r="D14" s="22" t="str">
        <f>'1-Range_Estimator'!D15</f>
        <v>n/a</v>
      </c>
      <c r="E14" s="248" t="s">
        <v>182</v>
      </c>
      <c r="F14" s="248" t="s">
        <v>182</v>
      </c>
      <c r="G14" s="248" t="s">
        <v>182</v>
      </c>
      <c r="H14" s="248" t="s">
        <v>182</v>
      </c>
      <c r="I14" s="248" t="s">
        <v>182</v>
      </c>
      <c r="U14" s="164"/>
      <c r="V14" s="166" t="str">
        <f>'B-Wireless-Input-System Gain'!V32</f>
        <v>QPSK</v>
      </c>
      <c r="W14" s="166">
        <f>'B-Wireless-Input-System Gain'!W32</f>
        <v>2</v>
      </c>
      <c r="X14" s="343">
        <f>'B-Wireless-Input-System Gain'!X32</f>
        <v>0.125</v>
      </c>
      <c r="Y14" s="811">
        <f>IF('B-Wireless-Input-System Gain'!AA32=0,0,'B-Wireless-Input-System Gain'!AA32+10)</f>
        <v>7.5</v>
      </c>
      <c r="Z14" s="168">
        <f>'B-Wireless-Input-System Gain'!Y32</f>
        <v>0.25</v>
      </c>
      <c r="AA14" s="550">
        <f t="shared" si="1"/>
        <v>5</v>
      </c>
      <c r="AB14" s="551"/>
      <c r="AD14" s="164"/>
      <c r="AE14" s="166" t="str">
        <f>'B-Wireless-Input-System Gain'!AC32</f>
        <v>QPSK</v>
      </c>
      <c r="AF14" s="166">
        <f>'B-Wireless-Input-System Gain'!AD32</f>
        <v>2</v>
      </c>
      <c r="AG14" s="545">
        <f>'B-Wireless-Input-System Gain'!AE32</f>
        <v>0.125</v>
      </c>
      <c r="AH14" s="811">
        <f>IF('B-Wireless-Input-System Gain'!AH32=0,0,'B-Wireless-Input-System Gain'!AH32+10)</f>
        <v>7.5</v>
      </c>
      <c r="AI14" s="168">
        <f>'B-Wireless-Input-System Gain'!AF32</f>
        <v>0.25</v>
      </c>
      <c r="AJ14" s="168">
        <f t="shared" si="2"/>
        <v>5</v>
      </c>
    </row>
    <row r="15" spans="1:36">
      <c r="A15" s="38" t="s">
        <v>72</v>
      </c>
      <c r="B15" s="22" t="str">
        <f>'1-Range_Estimator'!B16</f>
        <v>n/a</v>
      </c>
      <c r="C15" s="249" t="s">
        <v>182</v>
      </c>
      <c r="D15" s="22" t="str">
        <f>'1-Range_Estimator'!D16</f>
        <v>n/a</v>
      </c>
      <c r="E15" s="248" t="s">
        <v>182</v>
      </c>
      <c r="F15" s="248" t="s">
        <v>182</v>
      </c>
      <c r="G15" s="248" t="s">
        <v>182</v>
      </c>
      <c r="H15" s="248" t="s">
        <v>182</v>
      </c>
      <c r="I15" s="248" t="s">
        <v>182</v>
      </c>
      <c r="U15" s="164"/>
      <c r="V15" s="166" t="str">
        <f>'B-Wireless-Input-System Gain'!V33</f>
        <v>QPSK</v>
      </c>
      <c r="W15" s="166">
        <f>'B-Wireless-Input-System Gain'!W33</f>
        <v>2</v>
      </c>
      <c r="X15" s="343">
        <f>'B-Wireless-Input-System Gain'!X33</f>
        <v>0.25</v>
      </c>
      <c r="Y15" s="811">
        <f>IF('B-Wireless-Input-System Gain'!AA33=0,0,'B-Wireless-Input-System Gain'!AA33+10)</f>
        <v>10.5</v>
      </c>
      <c r="Z15" s="168">
        <f>'B-Wireless-Input-System Gain'!Y33</f>
        <v>0.5</v>
      </c>
      <c r="AA15" s="550">
        <f t="shared" si="1"/>
        <v>10</v>
      </c>
      <c r="AB15" s="551"/>
      <c r="AD15" s="164"/>
      <c r="AE15" s="166" t="str">
        <f>'B-Wireless-Input-System Gain'!AC33</f>
        <v>QPSK</v>
      </c>
      <c r="AF15" s="166">
        <f>'B-Wireless-Input-System Gain'!AD33</f>
        <v>2</v>
      </c>
      <c r="AG15" s="545">
        <f>'B-Wireless-Input-System Gain'!AE33</f>
        <v>0.25</v>
      </c>
      <c r="AH15" s="811">
        <f>IF('B-Wireless-Input-System Gain'!AH33=0,0,'B-Wireless-Input-System Gain'!AH33+10)</f>
        <v>10.5</v>
      </c>
      <c r="AI15" s="168">
        <f>'B-Wireless-Input-System Gain'!AF33</f>
        <v>0.5</v>
      </c>
      <c r="AJ15" s="168">
        <f t="shared" si="2"/>
        <v>10</v>
      </c>
    </row>
    <row r="16" spans="1:36">
      <c r="A16" s="56" t="s">
        <v>58</v>
      </c>
      <c r="B16" s="22" t="str">
        <f>'1-Range_Estimator'!B17</f>
        <v>n/a</v>
      </c>
      <c r="C16" s="249" t="s">
        <v>182</v>
      </c>
      <c r="D16" s="22" t="str">
        <f>'1-Range_Estimator'!D17</f>
        <v>n/a</v>
      </c>
      <c r="E16" s="248" t="s">
        <v>182</v>
      </c>
      <c r="F16" s="22" t="str">
        <f>'1-Range_Estimator'!F17</f>
        <v>n/a</v>
      </c>
      <c r="G16" s="248" t="s">
        <v>182</v>
      </c>
      <c r="H16" s="248" t="s">
        <v>182</v>
      </c>
      <c r="I16" s="248" t="s">
        <v>182</v>
      </c>
      <c r="U16" s="164"/>
      <c r="V16" s="166" t="str">
        <f>'B-Wireless-Input-System Gain'!V34</f>
        <v>QPSK</v>
      </c>
      <c r="W16" s="166">
        <f>'B-Wireless-Input-System Gain'!W34</f>
        <v>2</v>
      </c>
      <c r="X16" s="343">
        <f>'B-Wireless-Input-System Gain'!X34</f>
        <v>0.5</v>
      </c>
      <c r="Y16" s="811">
        <f>IF('B-Wireless-Input-System Gain'!AA34=0,0,'B-Wireless-Input-System Gain'!AA34+10)</f>
        <v>13.5</v>
      </c>
      <c r="Z16" s="168">
        <f>'B-Wireless-Input-System Gain'!Y34</f>
        <v>1</v>
      </c>
      <c r="AA16" s="550">
        <f t="shared" si="1"/>
        <v>20</v>
      </c>
      <c r="AB16" s="551"/>
      <c r="AD16" s="164"/>
      <c r="AE16" s="166" t="str">
        <f>'B-Wireless-Input-System Gain'!AC34</f>
        <v>QPSK</v>
      </c>
      <c r="AF16" s="166">
        <f>'B-Wireless-Input-System Gain'!AD34</f>
        <v>2</v>
      </c>
      <c r="AG16" s="545">
        <f>'B-Wireless-Input-System Gain'!AE34</f>
        <v>0.5</v>
      </c>
      <c r="AH16" s="811">
        <f>IF('B-Wireless-Input-System Gain'!AH34=0,0,'B-Wireless-Input-System Gain'!AH34+10)</f>
        <v>13.5</v>
      </c>
      <c r="AI16" s="168">
        <f>'B-Wireless-Input-System Gain'!AF34</f>
        <v>1</v>
      </c>
      <c r="AJ16" s="168">
        <f t="shared" si="2"/>
        <v>20</v>
      </c>
    </row>
    <row r="17" spans="1:36">
      <c r="A17" s="91" t="s">
        <v>98</v>
      </c>
      <c r="B17" s="57" t="str">
        <f>'1-Range_Estimator'!B18</f>
        <v>n/a</v>
      </c>
      <c r="C17" s="57" t="str">
        <f>'1-Range_Estimator'!C18</f>
        <v>n/a</v>
      </c>
      <c r="D17" s="57" t="str">
        <f>'1-Range_Estimator'!D18</f>
        <v>n/a</v>
      </c>
      <c r="E17" s="57" t="str">
        <f>'1-Range_Estimator'!E18</f>
        <v>n/a</v>
      </c>
      <c r="F17" s="249" t="s">
        <v>182</v>
      </c>
      <c r="G17" s="248" t="s">
        <v>182</v>
      </c>
      <c r="H17" s="248" t="s">
        <v>182</v>
      </c>
      <c r="I17" s="248" t="s">
        <v>182</v>
      </c>
      <c r="U17" s="164"/>
      <c r="V17" s="166" t="str">
        <f>'B-Wireless-Input-System Gain'!V35</f>
        <v>QPSK</v>
      </c>
      <c r="W17" s="166">
        <f>'B-Wireless-Input-System Gain'!W35</f>
        <v>2</v>
      </c>
      <c r="X17" s="343">
        <f>'B-Wireless-Input-System Gain'!X35</f>
        <v>0.75</v>
      </c>
      <c r="Y17" s="811">
        <f>IF('B-Wireless-Input-System Gain'!AA35=0,0,'B-Wireless-Input-System Gain'!AA35+10)</f>
        <v>16.8</v>
      </c>
      <c r="Z17" s="168">
        <f>'B-Wireless-Input-System Gain'!Y35</f>
        <v>1.5</v>
      </c>
      <c r="AA17" s="550">
        <f t="shared" si="1"/>
        <v>30</v>
      </c>
      <c r="AB17" s="551"/>
      <c r="AD17" s="164"/>
      <c r="AE17" s="166" t="str">
        <f>'B-Wireless-Input-System Gain'!AC35</f>
        <v>QPSK</v>
      </c>
      <c r="AF17" s="166">
        <f>'B-Wireless-Input-System Gain'!AD35</f>
        <v>2</v>
      </c>
      <c r="AG17" s="545">
        <f>'B-Wireless-Input-System Gain'!AE35</f>
        <v>0.75</v>
      </c>
      <c r="AH17" s="811">
        <f>IF('B-Wireless-Input-System Gain'!AH35=0,0,'B-Wireless-Input-System Gain'!AH35+10)</f>
        <v>16.8</v>
      </c>
      <c r="AI17" s="168">
        <f>'B-Wireless-Input-System Gain'!AF35</f>
        <v>1.5</v>
      </c>
      <c r="AJ17" s="168">
        <f t="shared" si="2"/>
        <v>30</v>
      </c>
    </row>
    <row r="18" spans="1:36">
      <c r="A18" s="342" t="s">
        <v>224</v>
      </c>
      <c r="B18" s="57" t="str">
        <f>'1-Range_Estimator'!B19</f>
        <v>n/a</v>
      </c>
      <c r="C18" s="22"/>
      <c r="D18" s="22"/>
      <c r="E18" s="22"/>
      <c r="F18" s="249"/>
      <c r="G18" s="248"/>
      <c r="H18" s="248"/>
      <c r="I18" s="248"/>
      <c r="U18" s="164"/>
      <c r="V18" s="166" t="str">
        <f>'B-Wireless-Input-System Gain'!V36</f>
        <v>16QAM</v>
      </c>
      <c r="W18" s="166">
        <f>'B-Wireless-Input-System Gain'!W36</f>
        <v>4</v>
      </c>
      <c r="X18" s="343">
        <f>'B-Wireless-Input-System Gain'!X36</f>
        <v>0.5</v>
      </c>
      <c r="Y18" s="811">
        <f>IF('B-Wireless-Input-System Gain'!AA36=0,0,'B-Wireless-Input-System Gain'!AA36+10)</f>
        <v>18.899999999999999</v>
      </c>
      <c r="Z18" s="168">
        <f>'B-Wireless-Input-System Gain'!Y36</f>
        <v>2</v>
      </c>
      <c r="AA18" s="550">
        <f t="shared" si="1"/>
        <v>40</v>
      </c>
      <c r="AB18" s="551"/>
      <c r="AD18" s="164"/>
      <c r="AE18" s="166" t="str">
        <f>'B-Wireless-Input-System Gain'!AC36</f>
        <v>16QAM</v>
      </c>
      <c r="AF18" s="166">
        <f>'B-Wireless-Input-System Gain'!AD36</f>
        <v>4</v>
      </c>
      <c r="AG18" s="545">
        <f>'B-Wireless-Input-System Gain'!AE36</f>
        <v>0.5</v>
      </c>
      <c r="AH18" s="811">
        <f>IF('B-Wireless-Input-System Gain'!AH36=0,0,'B-Wireless-Input-System Gain'!AH36+10)</f>
        <v>18.899999999999999</v>
      </c>
      <c r="AI18" s="168">
        <f>'B-Wireless-Input-System Gain'!AF36</f>
        <v>2</v>
      </c>
      <c r="AJ18" s="168">
        <f t="shared" si="2"/>
        <v>40</v>
      </c>
    </row>
    <row r="19" spans="1:36" ht="15.75">
      <c r="A19" s="171" t="s">
        <v>238</v>
      </c>
      <c r="B19" s="75"/>
      <c r="C19" s="75"/>
      <c r="D19" s="75"/>
      <c r="E19" s="209" t="s">
        <v>172</v>
      </c>
      <c r="F19" s="75"/>
      <c r="G19" s="75"/>
      <c r="H19" s="75"/>
      <c r="I19" s="122"/>
      <c r="U19" s="358"/>
      <c r="V19" s="809" t="str">
        <f>'B-Wireless-Input-System Gain'!V37</f>
        <v>16QAM</v>
      </c>
      <c r="W19" s="166">
        <f>'B-Wireless-Input-System Gain'!W37</f>
        <v>4</v>
      </c>
      <c r="X19" s="343">
        <f>'B-Wireless-Input-System Gain'!X37</f>
        <v>0.75</v>
      </c>
      <c r="Y19" s="811">
        <f>IF('B-Wireless-Input-System Gain'!AA37=0,0,'B-Wireless-Input-System Gain'!AA37+10)</f>
        <v>23</v>
      </c>
      <c r="Z19" s="168">
        <f>'B-Wireless-Input-System Gain'!Y37</f>
        <v>3</v>
      </c>
      <c r="AA19" s="550">
        <f t="shared" si="1"/>
        <v>60</v>
      </c>
      <c r="AB19" s="551"/>
      <c r="AD19" s="358"/>
      <c r="AE19" s="166" t="str">
        <f>'B-Wireless-Input-System Gain'!AC37</f>
        <v>16QAM</v>
      </c>
      <c r="AF19" s="166">
        <f>'B-Wireless-Input-System Gain'!AD37</f>
        <v>4</v>
      </c>
      <c r="AG19" s="545">
        <f>'B-Wireless-Input-System Gain'!AE37</f>
        <v>0.75</v>
      </c>
      <c r="AH19" s="811">
        <f>IF('B-Wireless-Input-System Gain'!AH37=0,0,'B-Wireless-Input-System Gain'!AH37+10)</f>
        <v>23</v>
      </c>
      <c r="AI19" s="168">
        <f>'B-Wireless-Input-System Gain'!AF37</f>
        <v>3</v>
      </c>
      <c r="AJ19" s="168">
        <f t="shared" si="2"/>
        <v>60</v>
      </c>
    </row>
    <row r="20" spans="1:36">
      <c r="A20" s="204" t="s">
        <v>180</v>
      </c>
      <c r="B20" s="257" t="s">
        <v>182</v>
      </c>
      <c r="C20" s="257" t="s">
        <v>182</v>
      </c>
      <c r="D20" s="257" t="s">
        <v>182</v>
      </c>
      <c r="E20" s="257" t="s">
        <v>182</v>
      </c>
      <c r="F20" s="257" t="s">
        <v>182</v>
      </c>
      <c r="G20" s="289">
        <f>IF(G12="n/a","n/a",E46)</f>
        <v>4.9924552066716865</v>
      </c>
      <c r="H20" s="289">
        <f>IF(H12="n/a","n/a",K46)</f>
        <v>4.4705949571029429</v>
      </c>
      <c r="I20" s="289">
        <f>IF(I12="n/a","n/a",Q46)</f>
        <v>4.4753654172927417</v>
      </c>
      <c r="U20" s="161"/>
      <c r="V20" s="809" t="str">
        <f>'B-Wireless-Input-System Gain'!V38</f>
        <v>64QAM</v>
      </c>
      <c r="W20" s="166">
        <f>'B-Wireless-Input-System Gain'!W38</f>
        <v>6</v>
      </c>
      <c r="X20" s="343">
        <f>'B-Wireless-Input-System Gain'!X38</f>
        <v>0.5</v>
      </c>
      <c r="Y20" s="811">
        <f>IF('B-Wireless-Input-System Gain'!AA38=0,0,'B-Wireless-Input-System Gain'!AA38+10)</f>
        <v>23.9</v>
      </c>
      <c r="Z20" s="168">
        <f>'B-Wireless-Input-System Gain'!Y38</f>
        <v>3</v>
      </c>
      <c r="AA20" s="550">
        <f t="shared" si="1"/>
        <v>60</v>
      </c>
      <c r="AB20" s="551"/>
      <c r="AD20" s="161"/>
      <c r="AE20" s="166" t="str">
        <f>'B-Wireless-Input-System Gain'!AC38</f>
        <v>64QAM</v>
      </c>
      <c r="AF20" s="166">
        <f>'B-Wireless-Input-System Gain'!AD38</f>
        <v>6</v>
      </c>
      <c r="AG20" s="545">
        <f>'B-Wireless-Input-System Gain'!AE38</f>
        <v>0.5</v>
      </c>
      <c r="AH20" s="811">
        <f>IF('B-Wireless-Input-System Gain'!AH38=0,0,'B-Wireless-Input-System Gain'!AH38+10)</f>
        <v>23.9</v>
      </c>
      <c r="AI20" s="168">
        <f>'B-Wireless-Input-System Gain'!AF38</f>
        <v>3</v>
      </c>
      <c r="AJ20" s="168">
        <f t="shared" si="2"/>
        <v>60</v>
      </c>
    </row>
    <row r="21" spans="1:36">
      <c r="A21" s="204" t="s">
        <v>101</v>
      </c>
      <c r="B21" s="257" t="s">
        <v>182</v>
      </c>
      <c r="C21" s="257" t="s">
        <v>182</v>
      </c>
      <c r="D21" s="257" t="s">
        <v>182</v>
      </c>
      <c r="E21" s="257" t="s">
        <v>182</v>
      </c>
      <c r="F21" s="257" t="s">
        <v>182</v>
      </c>
      <c r="G21" s="206"/>
      <c r="H21" s="206"/>
      <c r="I21" s="206"/>
      <c r="U21" s="164"/>
      <c r="V21" s="809" t="str">
        <f>'B-Wireless-Input-System Gain'!V39</f>
        <v>64QAM</v>
      </c>
      <c r="W21" s="166">
        <f>'B-Wireless-Input-System Gain'!W39</f>
        <v>6</v>
      </c>
      <c r="X21" s="343">
        <f>'B-Wireless-Input-System Gain'!X39</f>
        <v>0.66666666666666663</v>
      </c>
      <c r="Y21" s="811">
        <f>IF('B-Wireless-Input-System Gain'!AA39=0,0,'B-Wireless-Input-System Gain'!AA39+10)</f>
        <v>27.3</v>
      </c>
      <c r="Z21" s="168">
        <f>'B-Wireless-Input-System Gain'!Y39</f>
        <v>4</v>
      </c>
      <c r="AA21" s="550">
        <f t="shared" si="1"/>
        <v>80</v>
      </c>
      <c r="AB21" s="551"/>
      <c r="AD21" s="164"/>
      <c r="AE21" s="166" t="str">
        <f>'B-Wireless-Input-System Gain'!AC39</f>
        <v>64QAM</v>
      </c>
      <c r="AF21" s="166">
        <f>'B-Wireless-Input-System Gain'!AD39</f>
        <v>6</v>
      </c>
      <c r="AG21" s="545">
        <f>'B-Wireless-Input-System Gain'!AE39</f>
        <v>0.66666666666666663</v>
      </c>
      <c r="AH21" s="811">
        <f>IF('B-Wireless-Input-System Gain'!AH39=0,0,'B-Wireless-Input-System Gain'!AH39+10)</f>
        <v>27.3</v>
      </c>
      <c r="AI21" s="168">
        <f>'B-Wireless-Input-System Gain'!AF39</f>
        <v>4</v>
      </c>
      <c r="AJ21" s="168">
        <f t="shared" si="2"/>
        <v>80</v>
      </c>
    </row>
    <row r="22" spans="1:36">
      <c r="A22" s="204" t="s">
        <v>30</v>
      </c>
      <c r="B22" s="290" t="str">
        <f>IF(B14="n/a","n/a",E76)</f>
        <v>n/a</v>
      </c>
      <c r="C22" s="290" t="str">
        <f>IF(C14="n/a","n/a",K76)</f>
        <v>n/a</v>
      </c>
      <c r="D22" s="290" t="str">
        <f>IF(D14="n/a","n/a",Q76)</f>
        <v>n/a</v>
      </c>
      <c r="E22" s="257" t="s">
        <v>182</v>
      </c>
      <c r="F22" s="257" t="s">
        <v>182</v>
      </c>
      <c r="G22" s="257" t="s">
        <v>182</v>
      </c>
      <c r="H22" s="257" t="s">
        <v>182</v>
      </c>
      <c r="I22" s="257" t="s">
        <v>182</v>
      </c>
      <c r="U22" s="164"/>
      <c r="V22" s="809" t="str">
        <f>'B-Wireless-Input-System Gain'!V40</f>
        <v>64QAM</v>
      </c>
      <c r="W22" s="166">
        <f>'B-Wireless-Input-System Gain'!W40</f>
        <v>6</v>
      </c>
      <c r="X22" s="343">
        <f>'B-Wireless-Input-System Gain'!X40</f>
        <v>0.75</v>
      </c>
      <c r="Y22" s="811">
        <f>IF('B-Wireless-Input-System Gain'!AA40=0,0,'B-Wireless-Input-System Gain'!AA40+10)</f>
        <v>28.5</v>
      </c>
      <c r="Z22" s="168">
        <f>'B-Wireless-Input-System Gain'!Y40</f>
        <v>4.5</v>
      </c>
      <c r="AA22" s="550">
        <f t="shared" si="1"/>
        <v>90</v>
      </c>
      <c r="AB22" s="551"/>
      <c r="AD22" s="164"/>
      <c r="AE22" s="166" t="str">
        <f>'B-Wireless-Input-System Gain'!AC40</f>
        <v>64QAM</v>
      </c>
      <c r="AF22" s="166">
        <f>'B-Wireless-Input-System Gain'!AD40</f>
        <v>6</v>
      </c>
      <c r="AG22" s="545">
        <f>'B-Wireless-Input-System Gain'!AE40</f>
        <v>0.75</v>
      </c>
      <c r="AH22" s="811">
        <f>IF('B-Wireless-Input-System Gain'!AH40=0,0,'B-Wireless-Input-System Gain'!AH40+10)</f>
        <v>28.5</v>
      </c>
      <c r="AI22" s="168">
        <f>'B-Wireless-Input-System Gain'!AF40</f>
        <v>4.5</v>
      </c>
      <c r="AJ22" s="168">
        <f t="shared" si="2"/>
        <v>90</v>
      </c>
    </row>
    <row r="23" spans="1:36">
      <c r="A23" s="204" t="s">
        <v>72</v>
      </c>
      <c r="B23" s="290" t="str">
        <f>IF(B15="n/a","n/a",E106)</f>
        <v>n/a</v>
      </c>
      <c r="C23" s="257" t="s">
        <v>182</v>
      </c>
      <c r="D23" s="290" t="str">
        <f>IF(D15="n/a","n/a",K106)</f>
        <v>n/a</v>
      </c>
      <c r="E23" s="257" t="s">
        <v>182</v>
      </c>
      <c r="F23" s="257" t="s">
        <v>182</v>
      </c>
      <c r="G23" s="257" t="s">
        <v>182</v>
      </c>
      <c r="H23" s="257" t="s">
        <v>182</v>
      </c>
      <c r="I23" s="257" t="s">
        <v>182</v>
      </c>
      <c r="U23" s="164"/>
      <c r="V23" s="166" t="str">
        <f>'B-Wireless-Input-System Gain'!V41</f>
        <v>64QAM</v>
      </c>
      <c r="W23" s="166">
        <f>'B-Wireless-Input-System Gain'!W41</f>
        <v>6</v>
      </c>
      <c r="X23" s="343">
        <f>'B-Wireless-Input-System Gain'!X41</f>
        <v>0.83333333333333337</v>
      </c>
      <c r="Y23" s="811">
        <f>IF('B-Wireless-Input-System Gain'!AA41=0,0,'B-Wireless-Input-System Gain'!AA41+10)</f>
        <v>30.3</v>
      </c>
      <c r="Z23" s="168">
        <f>'B-Wireless-Input-System Gain'!Y41</f>
        <v>5</v>
      </c>
      <c r="AA23" s="550">
        <f t="shared" si="1"/>
        <v>100</v>
      </c>
      <c r="AB23" s="551"/>
      <c r="AD23" s="164"/>
      <c r="AE23" s="166" t="str">
        <f>'B-Wireless-Input-System Gain'!AC41</f>
        <v>64QAM</v>
      </c>
      <c r="AF23" s="166">
        <f>'B-Wireless-Input-System Gain'!AD41</f>
        <v>6</v>
      </c>
      <c r="AG23" s="545">
        <f>'B-Wireless-Input-System Gain'!AE41</f>
        <v>0.83333333333333337</v>
      </c>
      <c r="AH23" s="811">
        <f>IF('B-Wireless-Input-System Gain'!AH41=0,0,'B-Wireless-Input-System Gain'!AH41+10)</f>
        <v>30.3</v>
      </c>
      <c r="AI23" s="168">
        <f>'B-Wireless-Input-System Gain'!AF41</f>
        <v>5</v>
      </c>
      <c r="AJ23" s="168">
        <f t="shared" si="2"/>
        <v>100</v>
      </c>
    </row>
    <row r="24" spans="1:36">
      <c r="A24" s="207" t="s">
        <v>58</v>
      </c>
      <c r="B24" s="290" t="str">
        <f>IF(B16="n/a","n/a",E136)</f>
        <v>n/a</v>
      </c>
      <c r="C24" s="291" t="s">
        <v>182</v>
      </c>
      <c r="D24" s="290" t="str">
        <f>IF(D16="n/a","n/a",K136)</f>
        <v>n/a</v>
      </c>
      <c r="E24" s="291" t="s">
        <v>182</v>
      </c>
      <c r="F24" s="290" t="str">
        <f>IF(F16="n/a","n/a",Q136)</f>
        <v>n/a</v>
      </c>
      <c r="G24" s="257" t="s">
        <v>182</v>
      </c>
      <c r="H24" s="257" t="s">
        <v>182</v>
      </c>
      <c r="I24" s="257" t="s">
        <v>182</v>
      </c>
      <c r="U24" s="172"/>
      <c r="V24" s="173"/>
      <c r="W24" s="174"/>
      <c r="X24" s="174"/>
      <c r="Y24" s="175"/>
      <c r="Z24" s="174"/>
      <c r="AA24" s="174"/>
      <c r="AB24" s="174"/>
      <c r="AC24" s="176"/>
      <c r="AD24" s="176"/>
    </row>
    <row r="25" spans="1:36">
      <c r="A25" s="208" t="s">
        <v>98</v>
      </c>
      <c r="B25" s="290" t="str">
        <f>IF(B17="n/a","n/a",E166)</f>
        <v>n/a</v>
      </c>
      <c r="C25" s="290" t="str">
        <f>IF(C17="n/a","n/a",K166)</f>
        <v>n/a</v>
      </c>
      <c r="D25" s="290" t="str">
        <f>IF(D17="n/a","n/a",Q166)</f>
        <v>n/a</v>
      </c>
      <c r="E25" s="290" t="str">
        <f>IF(E17="n/a","n/a",W166)</f>
        <v>n/a</v>
      </c>
      <c r="F25" s="257" t="s">
        <v>182</v>
      </c>
      <c r="G25" s="257" t="s">
        <v>182</v>
      </c>
      <c r="H25" s="257" t="s">
        <v>182</v>
      </c>
      <c r="I25" s="257" t="s">
        <v>182</v>
      </c>
      <c r="U25" s="172"/>
      <c r="V25" s="173"/>
      <c r="W25" s="174"/>
      <c r="X25" s="174"/>
      <c r="Y25" s="175"/>
      <c r="Z25" s="174"/>
      <c r="AA25" s="174"/>
      <c r="AB25" s="174"/>
      <c r="AC25" s="176"/>
      <c r="AD25" s="176"/>
    </row>
    <row r="26" spans="1:36">
      <c r="A26" s="217" t="s">
        <v>224</v>
      </c>
      <c r="B26" s="290" t="str">
        <f>IF(B18="n/a","n/a",E196)</f>
        <v>n/a</v>
      </c>
      <c r="C26" s="290"/>
      <c r="D26" s="290"/>
      <c r="E26" s="290"/>
      <c r="F26" s="257"/>
      <c r="G26" s="257"/>
      <c r="H26" s="257"/>
      <c r="I26" s="257"/>
      <c r="U26" s="172"/>
      <c r="V26" s="173"/>
      <c r="W26" s="174"/>
      <c r="X26" s="174"/>
      <c r="Y26" s="175"/>
      <c r="Z26" s="174"/>
      <c r="AA26" s="174"/>
      <c r="AB26" s="174"/>
      <c r="AC26" s="176"/>
      <c r="AD26" s="176"/>
    </row>
    <row r="27" spans="1:36" ht="15.75">
      <c r="A27" s="171" t="s">
        <v>237</v>
      </c>
      <c r="B27" s="121">
        <f>I5</f>
        <v>4.0532853138362225E-2</v>
      </c>
      <c r="C27" s="199" t="s">
        <v>233</v>
      </c>
      <c r="D27" s="81"/>
      <c r="E27" s="209" t="s">
        <v>172</v>
      </c>
      <c r="F27" s="75"/>
      <c r="G27" s="75"/>
      <c r="H27" s="75"/>
      <c r="I27" s="122"/>
      <c r="U27" s="172"/>
      <c r="V27" s="173"/>
      <c r="W27" s="174"/>
      <c r="X27" s="174"/>
      <c r="Y27" s="175"/>
      <c r="Z27" s="174"/>
      <c r="AA27" s="174"/>
      <c r="AB27" s="174"/>
      <c r="AC27" s="176"/>
      <c r="AD27" s="176"/>
    </row>
    <row r="28" spans="1:36">
      <c r="A28" s="200" t="s">
        <v>180</v>
      </c>
      <c r="B28" s="258" t="s">
        <v>182</v>
      </c>
      <c r="C28" s="258" t="s">
        <v>182</v>
      </c>
      <c r="D28" s="258" t="s">
        <v>182</v>
      </c>
      <c r="E28" s="258" t="s">
        <v>182</v>
      </c>
      <c r="F28" s="258" t="s">
        <v>182</v>
      </c>
      <c r="G28" s="201">
        <f>IF(G12="n/a","n/a",IF($I$5&lt;E46,F46,VLOOKUP($I$5,E46:F70,2)))</f>
        <v>0.32931579887470902</v>
      </c>
      <c r="H28" s="201">
        <f>IF(H12="n/a","n/a",IF($I$5&lt;K46,L46,VLOOKUP($I$5,K46:L70,2)))</f>
        <v>0.35291948129038198</v>
      </c>
      <c r="I28" s="201">
        <f>IF(I12="n/a","n/a",IF($I$5&lt;Q46,R46,VLOOKUP($I$5,Q46:R70,2)))</f>
        <v>0.35273133607005103</v>
      </c>
      <c r="U28" s="172"/>
      <c r="V28" s="173"/>
      <c r="W28" s="174"/>
      <c r="X28" s="174"/>
      <c r="Y28" s="175"/>
      <c r="Z28" s="174"/>
      <c r="AA28" s="174"/>
      <c r="AB28" s="174"/>
      <c r="AC28" s="176"/>
      <c r="AD28" s="176"/>
    </row>
    <row r="29" spans="1:36">
      <c r="A29" s="200" t="s">
        <v>101</v>
      </c>
      <c r="B29" s="258" t="s">
        <v>182</v>
      </c>
      <c r="C29" s="258" t="s">
        <v>182</v>
      </c>
      <c r="D29" s="258" t="s">
        <v>182</v>
      </c>
      <c r="E29" s="258" t="s">
        <v>182</v>
      </c>
      <c r="F29" s="258" t="s">
        <v>182</v>
      </c>
      <c r="G29" s="258" t="s">
        <v>182</v>
      </c>
      <c r="H29" s="258" t="s">
        <v>182</v>
      </c>
      <c r="I29" s="258" t="s">
        <v>182</v>
      </c>
      <c r="U29" s="172"/>
      <c r="V29" s="173"/>
      <c r="W29" s="174"/>
      <c r="X29" s="174"/>
      <c r="Y29" s="175"/>
      <c r="Z29" s="174"/>
      <c r="AA29" s="174"/>
      <c r="AB29" s="174"/>
      <c r="AC29" s="176"/>
      <c r="AD29" s="176"/>
    </row>
    <row r="30" spans="1:36">
      <c r="A30" s="200" t="s">
        <v>30</v>
      </c>
      <c r="B30" s="201" t="str">
        <f>IF(B14="n/a","n/a",IF($I$5&lt;E76,F76,VLOOKUP($I$5,E76:F100,2)))</f>
        <v>n/a</v>
      </c>
      <c r="C30" s="201" t="str">
        <f>IF(C14="n/a","n/a",IF($I$5&lt;K76,L76,VLOOKUP($I$5,K76:L100,2)))</f>
        <v>n/a</v>
      </c>
      <c r="D30" s="201" t="str">
        <f>IF(D14="n/a","n/a",IF($I$5&lt;Q76,R76,VLOOKUP($I$5,Q76:R100,2)))</f>
        <v>n/a</v>
      </c>
      <c r="E30" s="258" t="s">
        <v>182</v>
      </c>
      <c r="F30" s="258" t="s">
        <v>182</v>
      </c>
      <c r="G30" s="258" t="s">
        <v>182</v>
      </c>
      <c r="H30" s="258" t="s">
        <v>182</v>
      </c>
      <c r="I30" s="258" t="s">
        <v>182</v>
      </c>
      <c r="U30" s="172"/>
      <c r="V30" s="173"/>
      <c r="W30" s="174"/>
      <c r="X30" s="174"/>
      <c r="Y30" s="175"/>
      <c r="Z30" s="174"/>
      <c r="AA30" s="174"/>
      <c r="AB30" s="174"/>
      <c r="AC30" s="176"/>
      <c r="AD30" s="176"/>
    </row>
    <row r="31" spans="1:36">
      <c r="A31" s="200" t="s">
        <v>72</v>
      </c>
      <c r="B31" s="201" t="str">
        <f>IF(B15="n/a","n/a",IF($I$5&lt;E106,F106,VLOOKUP($I$5,E106:F130,2)))</f>
        <v>n/a</v>
      </c>
      <c r="C31" s="258" t="s">
        <v>182</v>
      </c>
      <c r="D31" s="201" t="str">
        <f>IF(D15="n/a","n/a",IF($I$5&lt;K106,L106,VLOOKUP($I$5,K106:L130,2)))</f>
        <v>n/a</v>
      </c>
      <c r="E31" s="258" t="s">
        <v>182</v>
      </c>
      <c r="F31" s="258" t="s">
        <v>182</v>
      </c>
      <c r="G31" s="258" t="s">
        <v>182</v>
      </c>
      <c r="H31" s="258" t="s">
        <v>182</v>
      </c>
      <c r="I31" s="258" t="s">
        <v>182</v>
      </c>
      <c r="U31" s="172"/>
      <c r="V31" s="173"/>
      <c r="W31" s="174"/>
      <c r="X31" s="174"/>
      <c r="Y31" s="175"/>
      <c r="Z31" s="174"/>
      <c r="AA31" s="174"/>
      <c r="AB31" s="174"/>
      <c r="AC31" s="176"/>
      <c r="AD31" s="176"/>
    </row>
    <row r="32" spans="1:36">
      <c r="A32" s="200" t="s">
        <v>58</v>
      </c>
      <c r="B32" s="201" t="str">
        <f>IF(B16="n/a","n/a",IF($I$5&lt;E136,F136,VLOOKUP($I$5,E136:F160,2)))</f>
        <v>n/a</v>
      </c>
      <c r="C32" s="258" t="s">
        <v>182</v>
      </c>
      <c r="D32" s="201" t="str">
        <f>IF(D16="n/a","n/a",IF($I$5&lt;K136,L136,VLOOKUP($I$5,K136:L160,2)))</f>
        <v>n/a</v>
      </c>
      <c r="E32" s="258" t="s">
        <v>182</v>
      </c>
      <c r="F32" s="201" t="str">
        <f>IF(F16="n/a","n/a",IF($I$5&lt;Q136,R136,VLOOKUP($I$5,Q136:R160,2)))</f>
        <v>n/a</v>
      </c>
      <c r="G32" s="258" t="s">
        <v>182</v>
      </c>
      <c r="H32" s="258" t="s">
        <v>182</v>
      </c>
      <c r="I32" s="258" t="s">
        <v>182</v>
      </c>
      <c r="U32" s="172"/>
      <c r="V32" s="173"/>
      <c r="W32" s="174"/>
      <c r="X32" s="174"/>
      <c r="Y32" s="175"/>
      <c r="Z32" s="174"/>
      <c r="AA32" s="174"/>
      <c r="AB32" s="174"/>
      <c r="AC32" s="176"/>
      <c r="AD32" s="176"/>
    </row>
    <row r="33" spans="1:30">
      <c r="A33" s="203" t="s">
        <v>98</v>
      </c>
      <c r="B33" s="201" t="str">
        <f>IF(B17="n/a","n/a",IF($I$5&lt;E166,F166,VLOOKUP($I$5,E166:F190,2)))</f>
        <v>n/a</v>
      </c>
      <c r="C33" s="201" t="str">
        <f>IF(C17="n/a","n/a",IF($I$5&lt;K166,L166,VLOOKUP($I$5,K166:L190,2)))</f>
        <v>n/a</v>
      </c>
      <c r="D33" s="201" t="str">
        <f>IF(D17="n/a","n/a",IF($I$5&lt;Q166,R166,VLOOKUP($I$5,Q166:R190,2)))</f>
        <v>n/a</v>
      </c>
      <c r="E33" s="201" t="str">
        <f>IF(E17="n/a","n/a",IF($I$5&lt;W166,X166,VLOOKUP($I$5,W166:X190,2)))</f>
        <v>n/a</v>
      </c>
      <c r="F33" s="258" t="s">
        <v>182</v>
      </c>
      <c r="G33" s="258" t="s">
        <v>182</v>
      </c>
      <c r="H33" s="258" t="s">
        <v>182</v>
      </c>
      <c r="I33" s="258" t="s">
        <v>182</v>
      </c>
      <c r="U33" s="172"/>
      <c r="V33" s="173"/>
      <c r="W33" s="174"/>
      <c r="X33" s="174"/>
      <c r="Y33" s="175"/>
      <c r="Z33" s="174"/>
      <c r="AA33" s="174"/>
      <c r="AB33" s="174"/>
      <c r="AC33" s="176"/>
      <c r="AD33" s="176"/>
    </row>
    <row r="34" spans="1:30">
      <c r="A34" s="203" t="s">
        <v>224</v>
      </c>
      <c r="B34" s="201" t="str">
        <f>IF(B18="n/a","n/a",IF($I$5&lt;E196,F196,VLOOKUP($I$5,E196:F220,2)))</f>
        <v>n/a</v>
      </c>
      <c r="C34" s="201"/>
      <c r="D34" s="201"/>
      <c r="E34" s="201"/>
      <c r="F34" s="258"/>
      <c r="G34" s="258"/>
      <c r="H34" s="258"/>
      <c r="I34" s="258"/>
      <c r="U34" s="172"/>
      <c r="V34" s="173"/>
      <c r="W34" s="174"/>
      <c r="X34" s="174"/>
      <c r="Y34" s="175"/>
      <c r="Z34" s="174"/>
      <c r="AA34" s="174"/>
      <c r="AB34" s="174"/>
      <c r="AC34" s="176"/>
      <c r="AD34" s="176"/>
    </row>
    <row r="35" spans="1:30" ht="15.75">
      <c r="A35" s="71" t="s">
        <v>146</v>
      </c>
      <c r="B35" s="75"/>
      <c r="C35" s="75"/>
      <c r="D35" s="75"/>
      <c r="E35" s="15"/>
      <c r="F35" s="76"/>
      <c r="G35" s="76"/>
      <c r="H35" s="76"/>
      <c r="I35" s="74"/>
      <c r="U35" s="172"/>
      <c r="V35" s="6"/>
      <c r="W35" s="6"/>
      <c r="X35" s="6"/>
      <c r="Y35" s="6"/>
      <c r="Z35" s="6"/>
      <c r="AA35" s="6"/>
      <c r="AB35" s="6"/>
      <c r="AC35" s="6"/>
      <c r="AD35" s="6"/>
    </row>
    <row r="36" spans="1:30" ht="30">
      <c r="A36" s="3" t="s">
        <v>23</v>
      </c>
      <c r="B36" s="3" t="s">
        <v>60</v>
      </c>
      <c r="C36" s="3" t="s">
        <v>59</v>
      </c>
      <c r="D36" s="63" t="s">
        <v>36</v>
      </c>
      <c r="E36" s="3" t="s">
        <v>75</v>
      </c>
      <c r="F36" s="64" t="s">
        <v>76</v>
      </c>
      <c r="G36" s="3" t="s">
        <v>0</v>
      </c>
      <c r="H36" s="3" t="s">
        <v>1</v>
      </c>
      <c r="I36" s="3" t="s">
        <v>2</v>
      </c>
      <c r="U36" s="172"/>
      <c r="V36" s="6"/>
      <c r="W36" s="6"/>
      <c r="X36" s="6"/>
      <c r="Y36" s="6"/>
      <c r="Z36" s="6"/>
      <c r="AA36" s="6"/>
      <c r="AB36" s="6"/>
      <c r="AC36" s="6"/>
      <c r="AD36" s="6"/>
    </row>
    <row r="37" spans="1:30">
      <c r="A37" s="38" t="s">
        <v>100</v>
      </c>
      <c r="B37" s="22"/>
      <c r="C37" s="22"/>
      <c r="D37" s="22"/>
      <c r="E37" s="22"/>
      <c r="F37" s="22"/>
      <c r="G37" s="22">
        <f>IF(G12="n/a","n/a",'1-Range_Estimator'!G22*10)</f>
        <v>63.474999999999994</v>
      </c>
      <c r="H37" s="22">
        <f>IF(H12="n/a","n/a",'1-Range_Estimator'!H22*10)</f>
        <v>63.973571428571425</v>
      </c>
      <c r="I37" s="22">
        <f>IF(I12="n/a","n/a",'1-Range_Estimator'!I22*10)</f>
        <v>64.221428571428575</v>
      </c>
    </row>
    <row r="38" spans="1:30">
      <c r="A38" s="38" t="s">
        <v>101</v>
      </c>
      <c r="B38" s="22"/>
      <c r="C38" s="22"/>
      <c r="D38" s="22"/>
      <c r="E38" s="22"/>
      <c r="F38" s="22"/>
      <c r="G38" s="22">
        <f>IF(G13="n/a","n/a",'1-Range_Estimator'!G23*10)</f>
        <v>63.474999999999994</v>
      </c>
      <c r="H38" s="22">
        <f>IF(H13="n/a","n/a",'1-Range_Estimator'!H23*10)</f>
        <v>63.973571428571425</v>
      </c>
      <c r="I38" s="22">
        <f>IF(I13="n/a","n/a",'1-Range_Estimator'!I23*10)</f>
        <v>64.221428571428575</v>
      </c>
    </row>
    <row r="39" spans="1:30">
      <c r="A39" s="38" t="s">
        <v>30</v>
      </c>
      <c r="B39" s="22" t="str">
        <f>IF(B14="n/a","n/a",'1-Range_Estimator'!B24*10)</f>
        <v>n/a</v>
      </c>
      <c r="C39" s="22" t="str">
        <f>IF(C14="n/a","n/a",'1-Range_Estimator'!C24*10)</f>
        <v>n/a</v>
      </c>
      <c r="D39" s="22" t="str">
        <f>IF(D14="n/a","n/a",'1-Range_Estimator'!D24*10)</f>
        <v>n/a</v>
      </c>
      <c r="E39" s="22"/>
      <c r="F39" s="22"/>
      <c r="G39" s="22"/>
      <c r="H39" s="22"/>
      <c r="I39" s="22"/>
    </row>
    <row r="40" spans="1:30">
      <c r="A40" s="38" t="s">
        <v>72</v>
      </c>
      <c r="B40" s="22" t="str">
        <f>IF(B15="n/a","n/a",'1-Range_Estimator'!B25*10)</f>
        <v>n/a</v>
      </c>
      <c r="C40" s="22"/>
      <c r="D40" s="22" t="str">
        <f>IF(D15="n/a","n/a",'1-Range_Estimator'!D25*10)</f>
        <v>n/a</v>
      </c>
      <c r="E40" s="22"/>
      <c r="F40" s="22"/>
      <c r="G40" s="22"/>
      <c r="H40" s="22"/>
      <c r="I40" s="22"/>
    </row>
    <row r="41" spans="1:30">
      <c r="A41" s="56" t="s">
        <v>58</v>
      </c>
      <c r="B41" s="22" t="str">
        <f>IF(B16="n/a","n/a",'1-Range_Estimator'!B26*10)</f>
        <v>n/a</v>
      </c>
      <c r="C41" s="22"/>
      <c r="D41" s="22" t="str">
        <f>IF(D16="n/a","n/a",'1-Range_Estimator'!D26*10)</f>
        <v>n/a</v>
      </c>
      <c r="E41" s="22"/>
      <c r="F41" s="22" t="str">
        <f>IF(F16="n/a","n/a",'1-Range_Estimator'!F26*10)</f>
        <v>n/a</v>
      </c>
      <c r="G41" s="22"/>
      <c r="H41" s="22"/>
      <c r="I41" s="22"/>
    </row>
    <row r="42" spans="1:30">
      <c r="A42" s="7" t="s">
        <v>98</v>
      </c>
      <c r="B42" s="22" t="str">
        <f>IF(B17="n/a","n/a",'1-Range_Estimator'!B27*10)</f>
        <v>n/a</v>
      </c>
      <c r="C42" s="22" t="str">
        <f>IF(C17="n/a","n/a",'1-Range_Estimator'!C27*10)</f>
        <v>n/a</v>
      </c>
      <c r="D42" s="22" t="str">
        <f>IF(D17="n/a","n/a",'1-Range_Estimator'!D27*10)</f>
        <v>n/a</v>
      </c>
      <c r="E42" s="22" t="str">
        <f>IF(E17="n/a","n/a",'1-Range_Estimator'!E27*10)</f>
        <v>n/a</v>
      </c>
      <c r="F42" s="22"/>
      <c r="G42" s="22"/>
      <c r="H42" s="22"/>
      <c r="I42" s="22"/>
    </row>
    <row r="43" spans="1:30">
      <c r="A43" s="342" t="s">
        <v>224</v>
      </c>
      <c r="B43" s="22" t="str">
        <f>IF(B18="n/a","n/a",'1-Range_Estimator'!B28*10)</f>
        <v>n/a</v>
      </c>
      <c r="C43" s="24"/>
      <c r="D43" s="24"/>
      <c r="E43" s="24"/>
      <c r="F43" s="24"/>
      <c r="G43" s="24"/>
      <c r="H43" s="24"/>
      <c r="I43" s="24"/>
    </row>
    <row r="44" spans="1:30">
      <c r="A44" s="118" t="s">
        <v>100</v>
      </c>
      <c r="B44" s="119" t="s">
        <v>0</v>
      </c>
      <c r="C44" s="120">
        <f>G37</f>
        <v>63.474999999999994</v>
      </c>
      <c r="D44" s="121" t="s">
        <v>114</v>
      </c>
      <c r="E44" s="81"/>
      <c r="F44" s="81"/>
      <c r="G44" s="122"/>
      <c r="H44" s="119" t="s">
        <v>1</v>
      </c>
      <c r="I44" s="120">
        <f>H37</f>
        <v>63.973571428571425</v>
      </c>
      <c r="J44" s="121" t="s">
        <v>114</v>
      </c>
      <c r="K44" s="123"/>
      <c r="L44" s="123"/>
      <c r="M44" s="122"/>
      <c r="N44" s="124" t="s">
        <v>2</v>
      </c>
      <c r="O44" s="120">
        <f>I37</f>
        <v>64.221428571428575</v>
      </c>
      <c r="P44" s="121" t="s">
        <v>114</v>
      </c>
      <c r="Q44" s="81"/>
      <c r="R44" s="81"/>
      <c r="S44" s="74"/>
    </row>
    <row r="45" spans="1:30" ht="60">
      <c r="B45" s="3" t="s">
        <v>95</v>
      </c>
      <c r="C45" s="3" t="s">
        <v>96</v>
      </c>
      <c r="D45" s="3" t="str">
        <f>IF($I$6="UL","UL SE (bps/Hz)","DL SE (bps/Hz)")</f>
        <v>UL SE (bps/Hz)</v>
      </c>
      <c r="E45" s="737" t="s">
        <v>577</v>
      </c>
      <c r="F45" s="277" t="s">
        <v>95</v>
      </c>
      <c r="G45" s="3" t="s">
        <v>97</v>
      </c>
      <c r="H45" s="3" t="s">
        <v>95</v>
      </c>
      <c r="I45" s="3" t="s">
        <v>96</v>
      </c>
      <c r="J45" s="737" t="str">
        <f>IF($I$6="UL","UL SE (bps/Hz)","DL SE (bps/Hz)")</f>
        <v>UL SE (bps/Hz)</v>
      </c>
      <c r="K45" s="737" t="s">
        <v>577</v>
      </c>
      <c r="L45" s="277" t="s">
        <v>95</v>
      </c>
      <c r="M45" s="3" t="s">
        <v>97</v>
      </c>
      <c r="N45" s="3" t="s">
        <v>95</v>
      </c>
      <c r="O45" s="3" t="s">
        <v>96</v>
      </c>
      <c r="P45" s="737" t="str">
        <f>IF($I$6="UL","UL SE (bps/Hz)","DL SE (bps/Hz)")</f>
        <v>UL SE (bps/Hz)</v>
      </c>
      <c r="Q45" s="737" t="s">
        <v>577</v>
      </c>
      <c r="R45" s="277" t="s">
        <v>95</v>
      </c>
      <c r="S45" s="3" t="s">
        <v>97</v>
      </c>
    </row>
    <row r="46" spans="1:30">
      <c r="A46">
        <v>25</v>
      </c>
      <c r="B46" s="193">
        <f>G12</f>
        <v>0.32931579887470902</v>
      </c>
      <c r="C46" s="22">
        <f>$B$5</f>
        <v>5.7</v>
      </c>
      <c r="D46" s="22">
        <f>IF($I$6="UL",VLOOKUP(C46,'3-SNR-Chan SE vs Range'!$Y$9:$Z$23,2),VLOOKUP(C46,$AH$9:$AI$23,2))</f>
        <v>0.16666666666666666</v>
      </c>
      <c r="E46" s="288">
        <f>SUM(D46:D$70)/$A46/((3*3^0.5/2)*B46^2)</f>
        <v>4.9924552066716865</v>
      </c>
      <c r="F46" s="201">
        <f>B46</f>
        <v>0.32931579887470902</v>
      </c>
      <c r="G46" s="99">
        <f t="shared" ref="G46:G71" si="3">B46^2/B$46^2</f>
        <v>1</v>
      </c>
      <c r="H46" s="285">
        <f>H12</f>
        <v>0.35291948129038198</v>
      </c>
      <c r="I46" s="22">
        <f>$B$5</f>
        <v>5.7</v>
      </c>
      <c r="J46" s="22">
        <f>IF($I$6="UL",VLOOKUP(I46,'3-SNR-Chan SE vs Range'!$Y$9:$Z$23,2),VLOOKUP(I46,$AH$9:$AI$23,2))</f>
        <v>0.16666666666666666</v>
      </c>
      <c r="K46" s="288">
        <f>SUM(J46:J$70)/$A46/((3*3^0.5/2)*H46^2)</f>
        <v>4.4705949571029429</v>
      </c>
      <c r="L46" s="201">
        <f>H46</f>
        <v>0.35291948129038198</v>
      </c>
      <c r="M46" s="99">
        <f>H46^2/H$46^2</f>
        <v>1</v>
      </c>
      <c r="N46" s="193">
        <f>I12</f>
        <v>0.35273133607005103</v>
      </c>
      <c r="O46" s="22">
        <f>$B$5</f>
        <v>5.7</v>
      </c>
      <c r="P46" s="22">
        <f>IF($I$6="UL",VLOOKUP(O46,'3-SNR-Chan SE vs Range'!$Y$9:$Z$23,2),VLOOKUP(O46,$AH$9:$AI$23,2))</f>
        <v>0.16666666666666666</v>
      </c>
      <c r="Q46" s="288">
        <f>SUM(P46:P$70)/$A46/((3*3^0.5/2)*N46^2)</f>
        <v>4.4753654172927417</v>
      </c>
      <c r="R46" s="201">
        <f>N46</f>
        <v>0.35273133607005103</v>
      </c>
      <c r="S46" s="99">
        <f>N46^2/N$46^2</f>
        <v>1</v>
      </c>
    </row>
    <row r="47" spans="1:30">
      <c r="A47">
        <f>A46-1</f>
        <v>24</v>
      </c>
      <c r="B47" s="22">
        <f>(B46^2-(B$46^2-B$71^2)/25)^0.5</f>
        <v>0.32328151752450723</v>
      </c>
      <c r="C47" s="22">
        <f>C$46+C$44*LOG10(B$46/B47)</f>
        <v>6.2098115449484146</v>
      </c>
      <c r="D47" s="22">
        <f>IF($I$6="UL",VLOOKUP(C47,'3-SNR-Chan SE vs Range'!$Y$9:$Z$23,2),VLOOKUP(C47,$AH$9:$AI$23,2))</f>
        <v>0.16666666666666666</v>
      </c>
      <c r="E47" s="288">
        <f>SUM(D47:D$70)/$A47/((3*3^0.5/2)*B47^2)</f>
        <v>5.3708517405524008</v>
      </c>
      <c r="F47" s="201">
        <f t="shared" ref="F47:F70" si="4">B47</f>
        <v>0.32328151752450723</v>
      </c>
      <c r="G47" s="99">
        <f t="shared" si="3"/>
        <v>0.96368837320626555</v>
      </c>
      <c r="H47" s="22">
        <f>(H46^2-(H$46^2-H$71^2)/25)^0.5</f>
        <v>0.3463669641627235</v>
      </c>
      <c r="I47" s="22">
        <f>I$46+I$44*LOG10(H$46/H47)</f>
        <v>6.2206917172678402</v>
      </c>
      <c r="J47" s="22">
        <f>IF($I$6="UL",VLOOKUP(I47,'3-SNR-Chan SE vs Range'!$Y$9:$Z$23,2),VLOOKUP(I47,$AH$9:$AI$23,2))</f>
        <v>0.16666666666666666</v>
      </c>
      <c r="K47" s="288">
        <f>SUM(J47:J$70)/$A47/((3*3^0.5/2)*H47^2)</f>
        <v>4.812452394148572</v>
      </c>
      <c r="L47" s="201">
        <f t="shared" ref="L47:L71" si="5">H47</f>
        <v>0.3463669641627235</v>
      </c>
      <c r="M47" s="99">
        <f t="shared" ref="M47:M70" si="6">H47^2/H$46^2</f>
        <v>0.96321150591944116</v>
      </c>
      <c r="N47" s="22">
        <f>(N46^2-(N$46^2-N$71^2)/25)^0.5</f>
        <v>0.34618292798451622</v>
      </c>
      <c r="O47" s="22">
        <f>O$46+O$44*LOG10(N$46/N47)</f>
        <v>6.2226594531832999</v>
      </c>
      <c r="P47" s="22">
        <f>IF($I$6="UL",VLOOKUP(O47,'3-SNR-Chan SE vs Range'!$Y$9:$Z$23,2),VLOOKUP(O47,$AH$9:$AI$23,2))</f>
        <v>0.16666666666666666</v>
      </c>
      <c r="Q47" s="288">
        <f>SUM(P47:P$70)/$A47/((3*3^0.5/2)*N47^2)</f>
        <v>4.8175705018972881</v>
      </c>
      <c r="R47" s="201">
        <f t="shared" ref="R47:R71" si="7">N47</f>
        <v>0.34618292798451622</v>
      </c>
      <c r="S47" s="99">
        <f t="shared" ref="S47:S70" si="8">N47^2/N$46^2</f>
        <v>0.96321493283717463</v>
      </c>
    </row>
    <row r="48" spans="1:30">
      <c r="A48">
        <f t="shared" ref="A48:A71" si="9">A47-1</f>
        <v>23</v>
      </c>
      <c r="B48" s="22">
        <f>(B47^2-(B$46^2-B72^2)/25)^0.5</f>
        <v>0.31650115917229871</v>
      </c>
      <c r="C48" s="22">
        <f t="shared" ref="C48:C71" si="10">C$46+C$44*LOG10(B$46/B48)</f>
        <v>6.7941351724963361</v>
      </c>
      <c r="D48" s="22">
        <f>IF($I$6="UL",VLOOKUP(C48,'3-SNR-Chan SE vs Range'!$Y$9:$Z$23,2),VLOOKUP(C48,$AH$9:$AI$23,2))</f>
        <v>0.16666666666666666</v>
      </c>
      <c r="E48" s="288">
        <f>SUM(D48:D$70)/$A48/((3*3^0.5/2)*B48^2)</f>
        <v>5.8192190228829395</v>
      </c>
      <c r="F48" s="201">
        <f t="shared" si="4"/>
        <v>0.31650115917229871</v>
      </c>
      <c r="G48" s="99">
        <f t="shared" si="3"/>
        <v>0.92368837320626551</v>
      </c>
      <c r="H48" s="22">
        <f t="shared" ref="H48:H70" si="11">(H47^2-(H$46^2-H$71^2)/25)^0.5</f>
        <v>0.33968807375639565</v>
      </c>
      <c r="I48" s="22">
        <f t="shared" ref="I48:I71" si="12">I$46+I$44*LOG10(H$46/H48)</f>
        <v>6.7616627161372929</v>
      </c>
      <c r="J48" s="22">
        <f>IF($I$6="UL",VLOOKUP(I48,'3-SNR-Chan SE vs Range'!$Y$9:$Z$23,2),VLOOKUP(I48,$AH$9:$AI$23,2))</f>
        <v>0.16666666666666666</v>
      </c>
      <c r="K48" s="288">
        <f>SUM(J48:J$70)/$A48/((3*3^0.5/2)*H48^2)</f>
        <v>5.196930255145368</v>
      </c>
      <c r="L48" s="201">
        <f t="shared" si="5"/>
        <v>0.33968807375639565</v>
      </c>
      <c r="M48" s="99">
        <f t="shared" si="6"/>
        <v>0.9264230118388822</v>
      </c>
      <c r="N48" s="22">
        <f t="shared" ref="N48:N70" si="13">(N47^2-(N$46^2-N$71^2)/25)^0.5</f>
        <v>0.33950823820653042</v>
      </c>
      <c r="O48" s="22">
        <f t="shared" ref="O48:O71" si="14">O$46+O$44*LOG10(N$46/N48)</f>
        <v>6.7656728170896763</v>
      </c>
      <c r="P48" s="22">
        <f>IF($I$6="UL",VLOOKUP(O48,'3-SNR-Chan SE vs Range'!$Y$9:$Z$23,2),VLOOKUP(O48,$AH$9:$AI$23,2))</f>
        <v>0.16666666666666666</v>
      </c>
      <c r="Q48" s="288">
        <f>SUM(P48:P$70)/$A48/((3*3^0.5/2)*N48^2)</f>
        <v>5.2024372810672492</v>
      </c>
      <c r="R48" s="201">
        <f t="shared" si="7"/>
        <v>0.33950823820653042</v>
      </c>
      <c r="S48" s="99">
        <f t="shared" si="8"/>
        <v>0.92642986567434915</v>
      </c>
    </row>
    <row r="49" spans="1:19">
      <c r="A49">
        <f t="shared" si="9"/>
        <v>22</v>
      </c>
      <c r="B49" s="22">
        <f t="shared" ref="B49:B70" si="15">(B48^2-(B$46^2-B$71^2)/25)^0.5</f>
        <v>0.31021771055481223</v>
      </c>
      <c r="C49" s="22">
        <f t="shared" si="10"/>
        <v>7.3469209566741629</v>
      </c>
      <c r="D49" s="22">
        <f>IF($I$6="UL",VLOOKUP(C49,'3-SNR-Chan SE vs Range'!$Y$9:$Z$23,2),VLOOKUP(C49,$AH$9:$AI$23,2))</f>
        <v>0.16666666666666666</v>
      </c>
      <c r="E49" s="288">
        <f>SUM(D49:D$70)/$A49/((3*3^0.5/2)*B49^2)</f>
        <v>6.3023764492541536</v>
      </c>
      <c r="F49" s="201">
        <f t="shared" si="4"/>
        <v>0.31021771055481223</v>
      </c>
      <c r="G49" s="99">
        <f t="shared" si="3"/>
        <v>0.88737674641253117</v>
      </c>
      <c r="H49" s="22">
        <f t="shared" si="11"/>
        <v>0.33287520340415805</v>
      </c>
      <c r="I49" s="22">
        <f t="shared" si="12"/>
        <v>7.3245568627510274</v>
      </c>
      <c r="J49" s="22">
        <f>IF($I$6="UL",VLOOKUP(I49,'3-SNR-Chan SE vs Range'!$Y$9:$Z$23,2),VLOOKUP(I49,$AH$9:$AI$23,2))</f>
        <v>0.16666666666666666</v>
      </c>
      <c r="K49" s="288">
        <f>SUM(J49:J$70)/$A49/((3*3^0.5/2)*H49^2)</f>
        <v>5.6315126769642987</v>
      </c>
      <c r="L49" s="201">
        <f t="shared" si="5"/>
        <v>0.33287520340415805</v>
      </c>
      <c r="M49" s="99">
        <f t="shared" si="6"/>
        <v>0.88963451775832325</v>
      </c>
      <c r="N49" s="22">
        <f t="shared" si="13"/>
        <v>0.33269966635431369</v>
      </c>
      <c r="O49" s="22">
        <f t="shared" si="14"/>
        <v>7.3306898380104979</v>
      </c>
      <c r="P49" s="22">
        <f>IF($I$6="UL",VLOOKUP(O49,'3-SNR-Chan SE vs Range'!$Y$9:$Z$23,2),VLOOKUP(O49,$AH$9:$AI$23,2))</f>
        <v>0.16666666666666666</v>
      </c>
      <c r="Q49" s="288">
        <f>SUM(P49:P$70)/$A49/((3*3^0.5/2)*N49^2)</f>
        <v>5.6374567761329093</v>
      </c>
      <c r="R49" s="201">
        <f t="shared" si="7"/>
        <v>0.33269966635431369</v>
      </c>
      <c r="S49" s="99">
        <f t="shared" si="8"/>
        <v>0.88964479851152367</v>
      </c>
    </row>
    <row r="50" spans="1:19">
      <c r="A50">
        <f t="shared" si="9"/>
        <v>21</v>
      </c>
      <c r="B50" s="22">
        <f t="shared" si="15"/>
        <v>0.30380433197426554</v>
      </c>
      <c r="C50" s="22">
        <f t="shared" si="10"/>
        <v>7.9228059019868242</v>
      </c>
      <c r="D50" s="22">
        <f>IF($I$6="UL",VLOOKUP(C50,'3-SNR-Chan SE vs Range'!$Y$9:$Z$23,2),VLOOKUP(C50,$AH$9:$AI$23,2))</f>
        <v>0.25</v>
      </c>
      <c r="E50" s="288">
        <f>SUM(D50:D$70)/$A50/((3*3^0.5/2)*B50^2)</f>
        <v>6.8510949973250517</v>
      </c>
      <c r="F50" s="201">
        <f t="shared" si="4"/>
        <v>0.30380433197426554</v>
      </c>
      <c r="G50" s="99">
        <f t="shared" si="3"/>
        <v>0.85106511961879672</v>
      </c>
      <c r="H50" s="22">
        <f t="shared" si="11"/>
        <v>0.32591995126163831</v>
      </c>
      <c r="I50" s="22">
        <f t="shared" si="12"/>
        <v>7.91122637878102</v>
      </c>
      <c r="J50" s="22">
        <f>IF($I$6="UL",VLOOKUP(I50,'3-SNR-Chan SE vs Range'!$Y$9:$Z$23,2),VLOOKUP(I50,$AH$9:$AI$23,2))</f>
        <v>0.25</v>
      </c>
      <c r="K50" s="288">
        <f>SUM(J50:J$70)/$A50/((3*3^0.5/2)*H50^2)</f>
        <v>6.1254116259215747</v>
      </c>
      <c r="L50" s="201">
        <f t="shared" si="5"/>
        <v>0.32591995126163831</v>
      </c>
      <c r="M50" s="99">
        <f t="shared" si="6"/>
        <v>0.85284602367776419</v>
      </c>
      <c r="N50" s="22">
        <f t="shared" si="13"/>
        <v>0.32574881761019658</v>
      </c>
      <c r="O50" s="22">
        <f t="shared" si="14"/>
        <v>7.9195693406782901</v>
      </c>
      <c r="P50" s="22">
        <f>IF($I$6="UL",VLOOKUP(O50,'3-SNR-Chan SE vs Range'!$Y$9:$Z$23,2),VLOOKUP(O50,$AH$9:$AI$23,2))</f>
        <v>0.25</v>
      </c>
      <c r="Q50" s="288">
        <f>SUM(P50:P$70)/$A50/((3*3^0.5/2)*N50^2)</f>
        <v>6.131849343307695</v>
      </c>
      <c r="R50" s="201">
        <f t="shared" si="7"/>
        <v>0.32574881761019658</v>
      </c>
      <c r="S50" s="99">
        <f t="shared" si="8"/>
        <v>0.8528597313486983</v>
      </c>
    </row>
    <row r="51" spans="1:19">
      <c r="A51">
        <f t="shared" si="9"/>
        <v>20</v>
      </c>
      <c r="B51" s="22">
        <f t="shared" si="15"/>
        <v>0.29725261363155453</v>
      </c>
      <c r="C51" s="22">
        <f t="shared" si="10"/>
        <v>8.5238049952475254</v>
      </c>
      <c r="D51" s="22">
        <f>IF($I$6="UL",VLOOKUP(C51,'3-SNR-Chan SE vs Range'!$Y$9:$Z$23,2),VLOOKUP(C51,$AH$9:$AI$23,2))</f>
        <v>0.25</v>
      </c>
      <c r="E51" s="288">
        <f>SUM(D51:D$70)/$A51/((3*3^0.5/2)*B51^2)</f>
        <v>7.4598025064713056</v>
      </c>
      <c r="F51" s="201">
        <f t="shared" si="4"/>
        <v>0.29725261363155453</v>
      </c>
      <c r="G51" s="99">
        <f t="shared" si="3"/>
        <v>0.81475349282506249</v>
      </c>
      <c r="H51" s="22">
        <f t="shared" si="11"/>
        <v>0.3188129988244171</v>
      </c>
      <c r="I51" s="22">
        <f t="shared" si="12"/>
        <v>8.5237686119753526</v>
      </c>
      <c r="J51" s="22">
        <f>IF($I$6="UL",VLOOKUP(I51,'3-SNR-Chan SE vs Range'!$Y$9:$Z$23,2),VLOOKUP(I51,$AH$9:$AI$23,2))</f>
        <v>0.25</v>
      </c>
      <c r="K51" s="288">
        <f>SUM(J51:J$70)/$A51/((3*3^0.5/2)*H51^2)</f>
        <v>6.674291928934462</v>
      </c>
      <c r="L51" s="201">
        <f t="shared" si="5"/>
        <v>0.3188129988244171</v>
      </c>
      <c r="M51" s="99">
        <f t="shared" si="6"/>
        <v>0.81605752959720512</v>
      </c>
      <c r="N51" s="22">
        <f t="shared" si="13"/>
        <v>0.31864638136437484</v>
      </c>
      <c r="O51" s="22">
        <f t="shared" si="14"/>
        <v>8.5344161222681088</v>
      </c>
      <c r="P51" s="22">
        <f>IF($I$6="UL",VLOOKUP(O51,'3-SNR-Chan SE vs Range'!$Y$9:$Z$23,2),VLOOKUP(O51,$AH$9:$AI$23,2))</f>
        <v>0.25</v>
      </c>
      <c r="Q51" s="288">
        <f>SUM(P51:P$70)/$A51/((3*3^0.5/2)*N51^2)</f>
        <v>6.6812736138081688</v>
      </c>
      <c r="R51" s="201">
        <f t="shared" si="7"/>
        <v>0.31864638136437484</v>
      </c>
      <c r="S51" s="99">
        <f t="shared" si="8"/>
        <v>0.81607466418587304</v>
      </c>
    </row>
    <row r="52" spans="1:19">
      <c r="A52">
        <f t="shared" si="9"/>
        <v>19</v>
      </c>
      <c r="B52" s="22">
        <f t="shared" si="15"/>
        <v>0.29055319735850565</v>
      </c>
      <c r="C52" s="22">
        <f t="shared" si="10"/>
        <v>9.1522089522229315</v>
      </c>
      <c r="D52" s="22">
        <f>IF($I$6="UL",VLOOKUP(C52,'3-SNR-Chan SE vs Range'!$Y$9:$Z$23,2),VLOOKUP(C52,$AH$9:$AI$23,2))</f>
        <v>0.25</v>
      </c>
      <c r="E52" s="288">
        <f>SUM(D52:D$70)/$A52/((3*3^0.5/2)*B52^2)</f>
        <v>8.1587215592692601</v>
      </c>
      <c r="F52" s="201">
        <f t="shared" si="4"/>
        <v>0.29055319735850565</v>
      </c>
      <c r="G52" s="99">
        <f t="shared" si="3"/>
        <v>0.77844186603132814</v>
      </c>
      <c r="H52" s="22">
        <f t="shared" si="11"/>
        <v>0.31154396448727245</v>
      </c>
      <c r="I52" s="22">
        <f t="shared" si="12"/>
        <v>9.1645712941832969</v>
      </c>
      <c r="J52" s="22">
        <f>IF($I$6="UL",VLOOKUP(I52,'3-SNR-Chan SE vs Range'!$Y$9:$Z$23,2),VLOOKUP(I52,$AH$9:$AI$23,2))</f>
        <v>0.25</v>
      </c>
      <c r="K52" s="288">
        <f>SUM(J52:J$70)/$A52/((3*3^0.5/2)*H52^2)</f>
        <v>7.3050614360655883</v>
      </c>
      <c r="L52" s="201">
        <f t="shared" si="5"/>
        <v>0.31154396448727245</v>
      </c>
      <c r="M52" s="99">
        <f t="shared" si="6"/>
        <v>0.77926903551664617</v>
      </c>
      <c r="N52" s="22">
        <f t="shared" si="13"/>
        <v>0.31138198492973235</v>
      </c>
      <c r="O52" s="22">
        <f t="shared" si="14"/>
        <v>9.1776263613769018</v>
      </c>
      <c r="P52" s="22">
        <f>IF($I$6="UL",VLOOKUP(O52,'3-SNR-Chan SE vs Range'!$Y$9:$Z$23,2),VLOOKUP(O52,$AH$9:$AI$23,2))</f>
        <v>0.25</v>
      </c>
      <c r="Q52" s="288">
        <f>SUM(P52:P$70)/$A52/((3*3^0.5/2)*N52^2)</f>
        <v>7.3126635353688307</v>
      </c>
      <c r="R52" s="201">
        <f t="shared" si="7"/>
        <v>0.31138198492973235</v>
      </c>
      <c r="S52" s="99">
        <f t="shared" si="8"/>
        <v>0.77928959702304756</v>
      </c>
    </row>
    <row r="53" spans="1:19">
      <c r="A53">
        <f t="shared" si="9"/>
        <v>18</v>
      </c>
      <c r="B53" s="22">
        <f t="shared" si="15"/>
        <v>0.28369561977533458</v>
      </c>
      <c r="C53" s="22">
        <f t="shared" si="10"/>
        <v>9.8106369393191919</v>
      </c>
      <c r="D53" s="22">
        <f>IF($I$6="UL",VLOOKUP(C53,'3-SNR-Chan SE vs Range'!$Y$9:$Z$23,2),VLOOKUP(C53,$AH$9:$AI$23,2))</f>
        <v>0.25</v>
      </c>
      <c r="E53" s="288">
        <f>SUM(D53:D$70)/$A53/((3*3^0.5/2)*B53^2)</f>
        <v>8.9669371312815098</v>
      </c>
      <c r="F53" s="201">
        <f t="shared" si="4"/>
        <v>0.28369561977533458</v>
      </c>
      <c r="G53" s="99">
        <f t="shared" si="3"/>
        <v>0.74213023923759358</v>
      </c>
      <c r="H53" s="22">
        <f t="shared" si="11"/>
        <v>0.30410122557706998</v>
      </c>
      <c r="I53" s="22">
        <f t="shared" si="12"/>
        <v>9.8363687520436045</v>
      </c>
      <c r="J53" s="22">
        <f>IF($I$6="UL",VLOOKUP(I53,'3-SNR-Chan SE vs Range'!$Y$9:$Z$23,2),VLOOKUP(I53,$AH$9:$AI$23,2))</f>
        <v>0.25</v>
      </c>
      <c r="K53" s="288">
        <f>SUM(J53:J$70)/$A53/((3*3^0.5/2)*H53^2)</f>
        <v>8.0351516278363082</v>
      </c>
      <c r="L53" s="201">
        <f t="shared" si="5"/>
        <v>0.30410122557706998</v>
      </c>
      <c r="M53" s="99">
        <f t="shared" si="6"/>
        <v>0.74248054143608733</v>
      </c>
      <c r="N53" s="22">
        <f t="shared" si="13"/>
        <v>0.30394401576762375</v>
      </c>
      <c r="O53" s="22">
        <f t="shared" si="14"/>
        <v>9.8519440148497424</v>
      </c>
      <c r="P53" s="22">
        <f>IF($I$6="UL",VLOOKUP(O53,'3-SNR-Chan SE vs Range'!$Y$9:$Z$23,2),VLOOKUP(O53,$AH$9:$AI$23,2))</f>
        <v>0.25</v>
      </c>
      <c r="Q53" s="288">
        <f>SUM(P53:P$70)/$A53/((3*3^0.5/2)*N53^2)</f>
        <v>8.0434658651705959</v>
      </c>
      <c r="R53" s="201">
        <f t="shared" si="7"/>
        <v>0.30394401576762375</v>
      </c>
      <c r="S53" s="99">
        <f t="shared" si="8"/>
        <v>0.74250452986022208</v>
      </c>
    </row>
    <row r="54" spans="1:19">
      <c r="A54">
        <f t="shared" si="9"/>
        <v>17</v>
      </c>
      <c r="B54" s="22">
        <f t="shared" si="15"/>
        <v>0.27666812043343858</v>
      </c>
      <c r="C54" s="22">
        <f t="shared" si="10"/>
        <v>10.50210253166988</v>
      </c>
      <c r="D54" s="22">
        <f>IF($I$6="UL",VLOOKUP(C54,'3-SNR-Chan SE vs Range'!$Y$9:$Z$23,2),VLOOKUP(C54,$AH$9:$AI$23,2))</f>
        <v>0.5</v>
      </c>
      <c r="E54" s="288">
        <f>SUM(D54:D$70)/$A54/((3*3^0.5/2)*B54^2)</f>
        <v>9.9089071713894246</v>
      </c>
      <c r="F54" s="201">
        <f t="shared" si="4"/>
        <v>0.27666812043343858</v>
      </c>
      <c r="G54" s="99">
        <f t="shared" si="3"/>
        <v>0.70581861244385902</v>
      </c>
      <c r="H54" s="22">
        <f t="shared" si="11"/>
        <v>0.29647170014439</v>
      </c>
      <c r="I54" s="22">
        <f t="shared" si="12"/>
        <v>10.542312413551558</v>
      </c>
      <c r="J54" s="22">
        <f>IF($I$6="UL",VLOOKUP(I54,'3-SNR-Chan SE vs Range'!$Y$9:$Z$23,2),VLOOKUP(I54,$AH$9:$AI$23,2))</f>
        <v>0.5</v>
      </c>
      <c r="K54" s="288">
        <f>SUM(J54:J$70)/$A54/((3*3^0.5/2)*H54^2)</f>
        <v>8.8869308218032401</v>
      </c>
      <c r="L54" s="201">
        <f t="shared" si="5"/>
        <v>0.29647170014439</v>
      </c>
      <c r="M54" s="99">
        <f t="shared" si="6"/>
        <v>0.70569204735552837</v>
      </c>
      <c r="N54" s="22">
        <f t="shared" si="13"/>
        <v>0.29631940352113123</v>
      </c>
      <c r="O54" s="22">
        <f t="shared" si="14"/>
        <v>10.560531555975484</v>
      </c>
      <c r="P54" s="22">
        <f>IF($I$6="UL",VLOOKUP(O54,'3-SNR-Chan SE vs Range'!$Y$9:$Z$23,2),VLOOKUP(O54,$AH$9:$AI$23,2))</f>
        <v>0.5</v>
      </c>
      <c r="Q54" s="288">
        <f>SUM(P54:P$70)/$A54/((3*3^0.5/2)*N54^2)</f>
        <v>8.8960682414211654</v>
      </c>
      <c r="R54" s="201">
        <f t="shared" si="7"/>
        <v>0.29631940352113123</v>
      </c>
      <c r="S54" s="99">
        <f t="shared" si="8"/>
        <v>0.70571946269739683</v>
      </c>
    </row>
    <row r="55" spans="1:19">
      <c r="A55">
        <f t="shared" si="9"/>
        <v>16</v>
      </c>
      <c r="B55" s="22">
        <f t="shared" si="15"/>
        <v>0.26945740488736275</v>
      </c>
      <c r="C55" s="22">
        <f t="shared" si="10"/>
        <v>11.230097107207625</v>
      </c>
      <c r="D55" s="22">
        <f>IF($I$6="UL",VLOOKUP(C55,'3-SNR-Chan SE vs Range'!$Y$9:$Z$23,2),VLOOKUP(C55,$AH$9:$AI$23,2))</f>
        <v>0.5</v>
      </c>
      <c r="E55" s="288">
        <f>SUM(D55:D$70)/$A55/((3*3^0.5/2)*B55^2)</f>
        <v>10.933565855485243</v>
      </c>
      <c r="F55" s="201">
        <f t="shared" si="4"/>
        <v>0.26945740488736275</v>
      </c>
      <c r="G55" s="99">
        <f t="shared" si="3"/>
        <v>0.66950698565012434</v>
      </c>
      <c r="H55" s="22">
        <f t="shared" si="11"/>
        <v>0.28864057680016891</v>
      </c>
      <c r="I55" s="22">
        <f t="shared" si="12"/>
        <v>11.286060208406614</v>
      </c>
      <c r="J55" s="22">
        <f>IF($I$6="UL",VLOOKUP(I55,'3-SNR-Chan SE vs Range'!$Y$9:$Z$23,2),VLOOKUP(I55,$AH$9:$AI$23,2))</f>
        <v>0.5</v>
      </c>
      <c r="K55" s="288">
        <f>SUM(J55:J$70)/$A55/((3*3^0.5/2)*H55^2)</f>
        <v>9.8173049282980127</v>
      </c>
      <c r="L55" s="201">
        <f t="shared" si="5"/>
        <v>0.28864057680016891</v>
      </c>
      <c r="M55" s="99">
        <f t="shared" si="6"/>
        <v>0.66890355327496942</v>
      </c>
      <c r="N55" s="22">
        <f t="shared" si="13"/>
        <v>0.28849335015783029</v>
      </c>
      <c r="O55" s="22">
        <f t="shared" si="14"/>
        <v>11.307059665957844</v>
      </c>
      <c r="P55" s="22">
        <f>IF($I$6="UL",VLOOKUP(O55,'3-SNR-Chan SE vs Range'!$Y$9:$Z$23,2),VLOOKUP(O55,$AH$9:$AI$23,2))</f>
        <v>0.5</v>
      </c>
      <c r="Q55" s="288">
        <f>SUM(P55:P$70)/$A55/((3*3^0.5/2)*N55^2)</f>
        <v>9.8273276040216224</v>
      </c>
      <c r="R55" s="201">
        <f t="shared" si="7"/>
        <v>0.28849335015783029</v>
      </c>
      <c r="S55" s="99">
        <f t="shared" si="8"/>
        <v>0.66893439553457146</v>
      </c>
    </row>
    <row r="56" spans="1:19">
      <c r="A56">
        <f t="shared" si="9"/>
        <v>15</v>
      </c>
      <c r="B56" s="22">
        <f t="shared" si="15"/>
        <v>0.26204834903714358</v>
      </c>
      <c r="C56" s="22">
        <f t="shared" si="10"/>
        <v>11.998696518008551</v>
      </c>
      <c r="D56" s="22">
        <f>IF($I$6="UL",VLOOKUP(C56,'3-SNR-Chan SE vs Range'!$Y$9:$Z$23,2),VLOOKUP(C56,$AH$9:$AI$23,2))</f>
        <v>0.5</v>
      </c>
      <c r="E56" s="288">
        <f>SUM(D56:D$70)/$A56/((3*3^0.5/2)*B56^2)</f>
        <v>12.144436256879557</v>
      </c>
      <c r="F56" s="201">
        <f t="shared" si="4"/>
        <v>0.26204834903714358</v>
      </c>
      <c r="G56" s="99">
        <f t="shared" si="3"/>
        <v>0.63319535885638989</v>
      </c>
      <c r="H56" s="22">
        <f t="shared" si="11"/>
        <v>0.28059097662712412</v>
      </c>
      <c r="I56" s="22">
        <f t="shared" si="12"/>
        <v>12.071891283509492</v>
      </c>
      <c r="J56" s="22">
        <f>IF($I$6="UL",VLOOKUP(I56,'3-SNR-Chan SE vs Range'!$Y$9:$Z$23,2),VLOOKUP(I56,$AH$9:$AI$23,2))</f>
        <v>0.5</v>
      </c>
      <c r="K56" s="288">
        <f>SUM(J56:J$70)/$A56/((3*3^0.5/2)*H56^2)</f>
        <v>10.918280819316049</v>
      </c>
      <c r="L56" s="201">
        <f t="shared" si="5"/>
        <v>0.28059097662712412</v>
      </c>
      <c r="M56" s="99">
        <f t="shared" si="6"/>
        <v>0.63211505919441047</v>
      </c>
      <c r="N56" s="22">
        <f t="shared" si="13"/>
        <v>0.28044899227392123</v>
      </c>
      <c r="O56" s="22">
        <f t="shared" si="14"/>
        <v>12.095822319325656</v>
      </c>
      <c r="P56" s="22">
        <f>IF($I$6="UL",VLOOKUP(O56,'3-SNR-Chan SE vs Range'!$Y$9:$Z$23,2),VLOOKUP(O56,$AH$9:$AI$23,2))</f>
        <v>0.5</v>
      </c>
      <c r="Q56" s="288">
        <f>SUM(P56:P$70)/$A56/((3*3^0.5/2)*N56^2)</f>
        <v>10.929338926159978</v>
      </c>
      <c r="R56" s="201">
        <f t="shared" si="7"/>
        <v>0.28044899227392123</v>
      </c>
      <c r="S56" s="99">
        <f t="shared" si="8"/>
        <v>0.63214932837174598</v>
      </c>
    </row>
    <row r="57" spans="1:19">
      <c r="A57">
        <f t="shared" si="9"/>
        <v>14</v>
      </c>
      <c r="B57" s="22">
        <f t="shared" si="15"/>
        <v>0.2544236259028495</v>
      </c>
      <c r="C57" s="22">
        <f t="shared" si="10"/>
        <v>12.8126992989752</v>
      </c>
      <c r="D57" s="22">
        <f>IF($I$6="UL",VLOOKUP(C57,'3-SNR-Chan SE vs Range'!$Y$9:$Z$23,2),VLOOKUP(C57,$AH$9:$AI$23,2))</f>
        <v>0.5</v>
      </c>
      <c r="E57" s="288">
        <f>SUM(D57:D$70)/$A57/((3*3^0.5/2)*B57^2)</f>
        <v>13.591117932276626</v>
      </c>
      <c r="F57" s="201">
        <f t="shared" si="4"/>
        <v>0.2544236259028495</v>
      </c>
      <c r="G57" s="99">
        <f t="shared" si="3"/>
        <v>0.59688373206265555</v>
      </c>
      <c r="H57" s="22">
        <f t="shared" si="11"/>
        <v>0.27230352504804711</v>
      </c>
      <c r="I57" s="22">
        <f t="shared" si="12"/>
        <v>12.904855154812743</v>
      </c>
      <c r="J57" s="22">
        <f>IF($I$6="UL",VLOOKUP(I57,'3-SNR-Chan SE vs Range'!$Y$9:$Z$23,2),VLOOKUP(I57,$AH$9:$AI$23,2))</f>
        <v>0.5</v>
      </c>
      <c r="K57" s="288">
        <f>SUM(J57:J$70)/$A57/((3*3^0.5/2)*H57^2)</f>
        <v>12.235662547740088</v>
      </c>
      <c r="L57" s="201">
        <f t="shared" si="5"/>
        <v>0.27230352504804711</v>
      </c>
      <c r="M57" s="99">
        <f t="shared" si="6"/>
        <v>0.59532656511385151</v>
      </c>
      <c r="N57" s="22">
        <f t="shared" si="13"/>
        <v>0.27216697347332097</v>
      </c>
      <c r="O57" s="22">
        <f t="shared" si="14"/>
        <v>12.931886411481722</v>
      </c>
      <c r="P57" s="22">
        <f>IF($I$6="UL",VLOOKUP(O57,'3-SNR-Chan SE vs Range'!$Y$9:$Z$23,2),VLOOKUP(O57,$AH$9:$AI$23,2))</f>
        <v>0.5</v>
      </c>
      <c r="Q57" s="288">
        <f>SUM(P57:P$70)/$A57/((3*3^0.5/2)*N57^2)</f>
        <v>12.247943377437373</v>
      </c>
      <c r="R57" s="201">
        <f t="shared" si="7"/>
        <v>0.27216697347332097</v>
      </c>
      <c r="S57" s="99">
        <f t="shared" si="8"/>
        <v>0.59536426120892061</v>
      </c>
    </row>
    <row r="58" spans="1:19">
      <c r="A58">
        <f t="shared" si="9"/>
        <v>13</v>
      </c>
      <c r="B58" s="22">
        <f t="shared" si="15"/>
        <v>0.24656322840604922</v>
      </c>
      <c r="C58" s="22">
        <f t="shared" si="10"/>
        <v>13.6778083097226</v>
      </c>
      <c r="D58" s="22">
        <f>IF($I$6="UL",VLOOKUP(C58,'3-SNR-Chan SE vs Range'!$Y$9:$Z$23,2),VLOOKUP(C58,$AH$9:$AI$23,2))</f>
        <v>1</v>
      </c>
      <c r="E58" s="288">
        <f>SUM(D58:D$70)/$A58/((3*3^0.5/2)*B58^2)</f>
        <v>15.341177656983302</v>
      </c>
      <c r="F58" s="201">
        <f t="shared" si="4"/>
        <v>0.24656322840604922</v>
      </c>
      <c r="G58" s="99">
        <f t="shared" si="3"/>
        <v>0.56057210526892109</v>
      </c>
      <c r="H58" s="22">
        <f t="shared" si="11"/>
        <v>0.26375580248142699</v>
      </c>
      <c r="I58" s="22">
        <f t="shared" si="12"/>
        <v>13.790968497225226</v>
      </c>
      <c r="J58" s="22">
        <f>IF($I$6="UL",VLOOKUP(I58,'3-SNR-Chan SE vs Range'!$Y$9:$Z$23,2),VLOOKUP(I58,$AH$9:$AI$23,2))</f>
        <v>1</v>
      </c>
      <c r="K58" s="288">
        <f>SUM(J58:J$70)/$A58/((3*3^0.5/2)*H58^2)</f>
        <v>13.831971230292867</v>
      </c>
      <c r="L58" s="201">
        <f t="shared" si="5"/>
        <v>0.26375580248142699</v>
      </c>
      <c r="M58" s="99">
        <f t="shared" si="6"/>
        <v>0.55853807103329256</v>
      </c>
      <c r="N58" s="22">
        <f t="shared" si="13"/>
        <v>0.26362489569802938</v>
      </c>
      <c r="O58" s="22">
        <f t="shared" si="14"/>
        <v>13.821289168498975</v>
      </c>
      <c r="P58" s="22">
        <f>IF($I$6="UL",VLOOKUP(O58,'3-SNR-Chan SE vs Range'!$Y$9:$Z$23,2),VLOOKUP(O58,$AH$9:$AI$23,2))</f>
        <v>1</v>
      </c>
      <c r="Q58" s="288">
        <f>SUM(P58:P$70)/$A58/((3*3^0.5/2)*N58^2)</f>
        <v>13.845711574667117</v>
      </c>
      <c r="R58" s="201">
        <f t="shared" si="7"/>
        <v>0.26362489569802938</v>
      </c>
      <c r="S58" s="99">
        <f t="shared" si="8"/>
        <v>0.55857919404609524</v>
      </c>
    </row>
    <row r="59" spans="1:19">
      <c r="A59">
        <f t="shared" si="9"/>
        <v>12</v>
      </c>
      <c r="B59" s="22">
        <f t="shared" si="15"/>
        <v>0.23844385038510446</v>
      </c>
      <c r="C59" s="22">
        <f t="shared" si="10"/>
        <v>14.600873293756585</v>
      </c>
      <c r="D59" s="22">
        <f>IF($I$6="UL",VLOOKUP(C59,'3-SNR-Chan SE vs Range'!$Y$9:$Z$23,2),VLOOKUP(C59,$AH$9:$AI$23,2))</f>
        <v>1</v>
      </c>
      <c r="E59" s="288">
        <f>SUM(D59:D$70)/$A59/((3*3^0.5/2)*B59^2)</f>
        <v>17.206575898518043</v>
      </c>
      <c r="F59" s="201">
        <f t="shared" si="4"/>
        <v>0.23844385038510446</v>
      </c>
      <c r="G59" s="99">
        <f t="shared" si="3"/>
        <v>0.52426047847518664</v>
      </c>
      <c r="H59" s="22">
        <f t="shared" si="11"/>
        <v>0.254921628999288</v>
      </c>
      <c r="I59" s="22">
        <f t="shared" si="12"/>
        <v>14.737479084303438</v>
      </c>
      <c r="J59" s="22">
        <f>IF($I$6="UL",VLOOKUP(I59,'3-SNR-Chan SE vs Range'!$Y$9:$Z$23,2),VLOOKUP(I59,$AH$9:$AI$23,2))</f>
        <v>1</v>
      </c>
      <c r="K59" s="288">
        <f>SUM(J59:J$70)/$A59/((3*3^0.5/2)*H59^2)</f>
        <v>15.547624788526557</v>
      </c>
      <c r="L59" s="201">
        <f t="shared" si="5"/>
        <v>0.254921628999288</v>
      </c>
      <c r="M59" s="99">
        <f t="shared" si="6"/>
        <v>0.52174957695273361</v>
      </c>
      <c r="N59" s="22">
        <f t="shared" si="13"/>
        <v>0.25479660479285499</v>
      </c>
      <c r="O59" s="22">
        <f t="shared" si="14"/>
        <v>14.771302906566909</v>
      </c>
      <c r="P59" s="22">
        <f>IF($I$6="UL",VLOOKUP(O59,'3-SNR-Chan SE vs Range'!$Y$9:$Z$23,2),VLOOKUP(O59,$AH$9:$AI$23,2))</f>
        <v>1</v>
      </c>
      <c r="Q59" s="288">
        <f>SUM(P59:P$70)/$A59/((3*3^0.5/2)*N59^2)</f>
        <v>15.562886423226301</v>
      </c>
      <c r="R59" s="201">
        <f t="shared" si="7"/>
        <v>0.25479660479285499</v>
      </c>
      <c r="S59" s="99">
        <f t="shared" si="8"/>
        <v>0.52179412688326987</v>
      </c>
    </row>
    <row r="60" spans="1:19">
      <c r="A60">
        <f t="shared" si="9"/>
        <v>11</v>
      </c>
      <c r="B60" s="22">
        <f t="shared" si="15"/>
        <v>0.23003807069903576</v>
      </c>
      <c r="C60" s="22">
        <f t="shared" si="10"/>
        <v>15.590220644604724</v>
      </c>
      <c r="D60" s="22">
        <f>IF($I$6="UL",VLOOKUP(C60,'3-SNR-Chan SE vs Range'!$Y$9:$Z$23,2),VLOOKUP(C60,$AH$9:$AI$23,2))</f>
        <v>1</v>
      </c>
      <c r="E60" s="288">
        <f>SUM(D60:D$70)/$A60/((3*3^0.5/2)*B60^2)</f>
        <v>19.506439777711456</v>
      </c>
      <c r="F60" s="201">
        <f t="shared" si="4"/>
        <v>0.23003807069903576</v>
      </c>
      <c r="G60" s="99">
        <f t="shared" si="3"/>
        <v>0.48794885168145236</v>
      </c>
      <c r="H60" s="22">
        <f t="shared" si="11"/>
        <v>0.24577011722477518</v>
      </c>
      <c r="I60" s="22">
        <f t="shared" si="12"/>
        <v>15.75322640061145</v>
      </c>
      <c r="J60" s="22">
        <f>IF($I$6="UL",VLOOKUP(I60,'3-SNR-Chan SE vs Range'!$Y$9:$Z$23,2),VLOOKUP(I60,$AH$9:$AI$23,2))</f>
        <v>1</v>
      </c>
      <c r="K60" s="288">
        <f>SUM(J60:J$70)/$A60/((3*3^0.5/2)*H60^2)</f>
        <v>17.668395594355847</v>
      </c>
      <c r="L60" s="201">
        <f t="shared" si="5"/>
        <v>0.24577011722477518</v>
      </c>
      <c r="M60" s="99">
        <f t="shared" si="6"/>
        <v>0.48496108287217465</v>
      </c>
      <c r="N60" s="22">
        <f t="shared" si="13"/>
        <v>0.24565124464601396</v>
      </c>
      <c r="O60" s="22">
        <f t="shared" si="14"/>
        <v>15.790796746336021</v>
      </c>
      <c r="P60" s="22">
        <f>IF($I$6="UL",VLOOKUP(O60,'3-SNR-Chan SE vs Range'!$Y$9:$Z$23,2),VLOOKUP(O60,$AH$9:$AI$23,2))</f>
        <v>1</v>
      </c>
      <c r="Q60" s="288">
        <f>SUM(P60:P$70)/$A60/((3*3^0.5/2)*N60^2)</f>
        <v>17.685499484245124</v>
      </c>
      <c r="R60" s="201">
        <f t="shared" si="7"/>
        <v>0.24565124464601396</v>
      </c>
      <c r="S60" s="99">
        <f t="shared" si="8"/>
        <v>0.48500905972044445</v>
      </c>
    </row>
    <row r="61" spans="1:19">
      <c r="A61">
        <f t="shared" si="9"/>
        <v>10</v>
      </c>
      <c r="B61" s="22">
        <f t="shared" si="15"/>
        <v>0.22131325797474283</v>
      </c>
      <c r="C61" s="22">
        <f t="shared" si="10"/>
        <v>16.656110938074821</v>
      </c>
      <c r="D61" s="22">
        <f>IF($I$6="UL",VLOOKUP(C61,'3-SNR-Chan SE vs Range'!$Y$9:$Z$23,2),VLOOKUP(C61,$AH$9:$AI$23,2))</f>
        <v>1</v>
      </c>
      <c r="E61" s="288">
        <f>SUM(D61:D$70)/$A61/((3*3^0.5/2)*B61^2)</f>
        <v>22.396394593434259</v>
      </c>
      <c r="F61" s="201">
        <f t="shared" si="4"/>
        <v>0.22131325797474283</v>
      </c>
      <c r="G61" s="99">
        <f t="shared" si="3"/>
        <v>0.45163722488771801</v>
      </c>
      <c r="H61" s="22">
        <f t="shared" si="11"/>
        <v>0.2362643945026606</v>
      </c>
      <c r="I61" s="22">
        <f t="shared" si="12"/>
        <v>16.849144798704785</v>
      </c>
      <c r="J61" s="22">
        <f>IF($I$6="UL",VLOOKUP(I61,'3-SNR-Chan SE vs Range'!$Y$9:$Z$23,2),VLOOKUP(I61,$AH$9:$AI$23,2))</f>
        <v>1.5</v>
      </c>
      <c r="K61" s="288">
        <f>SUM(J61:J$70)/$A61/((3*3^0.5/2)*H61^2)</f>
        <v>20.341059700807747</v>
      </c>
      <c r="L61" s="201">
        <f t="shared" si="5"/>
        <v>0.2362643945026606</v>
      </c>
      <c r="M61" s="99">
        <f t="shared" si="6"/>
        <v>0.4481725887916157</v>
      </c>
      <c r="N61" s="22">
        <f t="shared" si="13"/>
        <v>0.23615198110180077</v>
      </c>
      <c r="O61" s="22">
        <f t="shared" si="14"/>
        <v>16.890741278801084</v>
      </c>
      <c r="P61" s="22">
        <f>IF($I$6="UL",VLOOKUP(O61,'3-SNR-Chan SE vs Range'!$Y$9:$Z$23,2),VLOOKUP(O61,$AH$9:$AI$23,2))</f>
        <v>1.5</v>
      </c>
      <c r="Q61" s="288">
        <f>SUM(P61:P$70)/$A61/((3*3^0.5/2)*N61^2)</f>
        <v>20.360429870175025</v>
      </c>
      <c r="R61" s="201">
        <f t="shared" si="7"/>
        <v>0.23615198110180077</v>
      </c>
      <c r="S61" s="99">
        <f t="shared" si="8"/>
        <v>0.44822399255761913</v>
      </c>
    </row>
    <row r="62" spans="1:19">
      <c r="A62">
        <f t="shared" si="9"/>
        <v>9</v>
      </c>
      <c r="B62" s="22">
        <f t="shared" si="15"/>
        <v>0.21223006935836297</v>
      </c>
      <c r="C62" s="22">
        <f t="shared" si="10"/>
        <v>17.811388660627543</v>
      </c>
      <c r="D62" s="22">
        <f>IF($I$6="UL",VLOOKUP(C62,'3-SNR-Chan SE vs Range'!$Y$9:$Z$23,2),VLOOKUP(C62,$AH$9:$AI$23,2))</f>
        <v>1.5</v>
      </c>
      <c r="E62" s="288">
        <f>SUM(D62:D$70)/$A62/((3*3^0.5/2)*B62^2)</f>
        <v>26.111057790719407</v>
      </c>
      <c r="F62" s="201">
        <f t="shared" si="4"/>
        <v>0.21223006935836297</v>
      </c>
      <c r="G62" s="99">
        <f t="shared" si="3"/>
        <v>0.41532559809398362</v>
      </c>
      <c r="H62" s="22">
        <f t="shared" si="11"/>
        <v>0.22635984117934424</v>
      </c>
      <c r="I62" s="22">
        <f t="shared" si="12"/>
        <v>18.038982664586886</v>
      </c>
      <c r="J62" s="22">
        <f>IF($I$6="UL",VLOOKUP(I62,'3-SNR-Chan SE vs Range'!$Y$9:$Z$23,2),VLOOKUP(I62,$AH$9:$AI$23,2))</f>
        <v>1.5</v>
      </c>
      <c r="K62" s="288">
        <f>SUM(J62:J$70)/$A62/((3*3^0.5/2)*H62^2)</f>
        <v>23.37033158805006</v>
      </c>
      <c r="L62" s="201">
        <f t="shared" si="5"/>
        <v>0.22635984117934424</v>
      </c>
      <c r="M62" s="99">
        <f t="shared" si="6"/>
        <v>0.4113840947110568</v>
      </c>
      <c r="N62" s="22">
        <f t="shared" si="13"/>
        <v>0.22625424274579856</v>
      </c>
      <c r="O62" s="22">
        <f t="shared" si="14"/>
        <v>18.084929840218379</v>
      </c>
      <c r="P62" s="22">
        <f>IF($I$6="UL",VLOOKUP(O62,'3-SNR-Chan SE vs Range'!$Y$9:$Z$23,2),VLOOKUP(O62,$AH$9:$AI$23,2))</f>
        <v>1.5</v>
      </c>
      <c r="Q62" s="288">
        <f>SUM(P62:P$70)/$A62/((3*3^0.5/2)*N62^2)</f>
        <v>23.392151698781845</v>
      </c>
      <c r="R62" s="201">
        <f t="shared" si="7"/>
        <v>0.22625424274579856</v>
      </c>
      <c r="S62" s="99">
        <f t="shared" si="8"/>
        <v>0.41143892539479376</v>
      </c>
    </row>
    <row r="63" spans="1:19">
      <c r="A63">
        <f t="shared" si="9"/>
        <v>8</v>
      </c>
      <c r="B63" s="22">
        <f t="shared" si="15"/>
        <v>0.20274034261664858</v>
      </c>
      <c r="C63" s="22">
        <f t="shared" si="10"/>
        <v>19.072429976631557</v>
      </c>
      <c r="D63" s="22">
        <f>IF($I$6="UL",VLOOKUP(C63,'3-SNR-Chan SE vs Range'!$Y$9:$Z$23,2),VLOOKUP(C63,$AH$9:$AI$23,2))</f>
        <v>2</v>
      </c>
      <c r="E63" s="288">
        <f>SUM(D63:D$70)/$A63/((3*3^0.5/2)*B63^2)</f>
        <v>30.433445424462953</v>
      </c>
      <c r="F63" s="201">
        <f t="shared" si="4"/>
        <v>0.20274034261664858</v>
      </c>
      <c r="G63" s="99">
        <f t="shared" si="3"/>
        <v>0.37901397130024933</v>
      </c>
      <c r="H63" s="22">
        <f t="shared" si="11"/>
        <v>0.2160016001972371</v>
      </c>
      <c r="I63" s="22">
        <f t="shared" si="12"/>
        <v>19.340359412849718</v>
      </c>
      <c r="J63" s="22">
        <f>IF($I$6="UL",VLOOKUP(I63,'3-SNR-Chan SE vs Range'!$Y$9:$Z$23,2),VLOOKUP(I63,$AH$9:$AI$23,2))</f>
        <v>2</v>
      </c>
      <c r="K63" s="288">
        <f>SUM(J63:J$70)/$A63/((3*3^0.5/2)*H63^2)</f>
        <v>27.326880866811738</v>
      </c>
      <c r="L63" s="201">
        <f t="shared" si="5"/>
        <v>0.2160016001972371</v>
      </c>
      <c r="M63" s="99">
        <f t="shared" si="6"/>
        <v>0.3745956006304979</v>
      </c>
      <c r="N63" s="22">
        <f t="shared" si="13"/>
        <v>0.21590323421070887</v>
      </c>
      <c r="O63" s="22">
        <f t="shared" si="14"/>
        <v>19.391038526797757</v>
      </c>
      <c r="P63" s="22">
        <f>IF($I$6="UL",VLOOKUP(O63,'3-SNR-Chan SE vs Range'!$Y$9:$Z$23,2),VLOOKUP(O63,$AH$9:$AI$23,2))</f>
        <v>2</v>
      </c>
      <c r="Q63" s="288">
        <f>SUM(P63:P$70)/$A63/((3*3^0.5/2)*N63^2)</f>
        <v>27.351786912730741</v>
      </c>
      <c r="R63" s="201">
        <f t="shared" si="7"/>
        <v>0.21590323421070887</v>
      </c>
      <c r="S63" s="99">
        <f t="shared" si="8"/>
        <v>0.3746538582319684</v>
      </c>
    </row>
    <row r="64" spans="1:19">
      <c r="A64">
        <f t="shared" si="9"/>
        <v>7</v>
      </c>
      <c r="B64" s="22">
        <f t="shared" si="15"/>
        <v>0.1927840520083976</v>
      </c>
      <c r="C64" s="22">
        <f t="shared" si="10"/>
        <v>20.460569314742084</v>
      </c>
      <c r="D64" s="22">
        <f>IF($I$6="UL",VLOOKUP(C64,'3-SNR-Chan SE vs Range'!$Y$9:$Z$23,2),VLOOKUP(C64,$AH$9:$AI$23,2))</f>
        <v>2</v>
      </c>
      <c r="E64" s="288">
        <f>SUM(D64:D$70)/$A64/((3*3^0.5/2)*B64^2)</f>
        <v>35.507419154087813</v>
      </c>
      <c r="F64" s="201">
        <f t="shared" si="4"/>
        <v>0.1927840520083976</v>
      </c>
      <c r="G64" s="99">
        <f t="shared" si="3"/>
        <v>0.34270234450651499</v>
      </c>
      <c r="H64" s="22">
        <f t="shared" si="11"/>
        <v>0.20512095182305529</v>
      </c>
      <c r="I64" s="22">
        <f t="shared" si="12"/>
        <v>20.776370679734374</v>
      </c>
      <c r="J64" s="22">
        <f>IF($I$6="UL",VLOOKUP(I64,'3-SNR-Chan SE vs Range'!$Y$9:$Z$23,2),VLOOKUP(I64,$AH$9:$AI$23,2))</f>
        <v>2</v>
      </c>
      <c r="K64" s="288">
        <f>SUM(J64:J$70)/$A64/((3*3^0.5/2)*H64^2)</f>
        <v>32.018140920250694</v>
      </c>
      <c r="L64" s="201">
        <f t="shared" si="5"/>
        <v>0.20512095182305529</v>
      </c>
      <c r="M64" s="99">
        <f t="shared" si="6"/>
        <v>0.33780710654993895</v>
      </c>
      <c r="N64" s="22">
        <f t="shared" si="13"/>
        <v>0.20503031659931092</v>
      </c>
      <c r="O64" s="22">
        <f t="shared" si="14"/>
        <v>20.832235828486304</v>
      </c>
      <c r="P64" s="22">
        <f>IF($I$6="UL",VLOOKUP(O64,'3-SNR-Chan SE vs Range'!$Y$9:$Z$23,2),VLOOKUP(O64,$AH$9:$AI$23,2))</f>
        <v>2</v>
      </c>
      <c r="Q64" s="288">
        <f>SUM(P64:P$70)/$A64/((3*3^0.5/2)*N64^2)</f>
        <v>32.046454906530158</v>
      </c>
      <c r="R64" s="201">
        <f t="shared" si="7"/>
        <v>0.20503031659931092</v>
      </c>
      <c r="S64" s="99">
        <f t="shared" si="8"/>
        <v>0.33786879106914303</v>
      </c>
    </row>
    <row r="65" spans="1:19">
      <c r="A65">
        <f t="shared" si="9"/>
        <v>6</v>
      </c>
      <c r="B65" s="22">
        <f t="shared" si="15"/>
        <v>0.18228476319549322</v>
      </c>
      <c r="C65" s="22">
        <f t="shared" si="10"/>
        <v>22.004328019548328</v>
      </c>
      <c r="D65" s="22">
        <f>IF($I$6="UL",VLOOKUP(C65,'3-SNR-Chan SE vs Range'!$Y$9:$Z$23,2),VLOOKUP(C65,$AH$9:$AI$23,2))</f>
        <v>2</v>
      </c>
      <c r="E65" s="288">
        <f>SUM(D65:D$70)/$A65/((3*3^0.5/2)*B65^2)</f>
        <v>42.473574035476368</v>
      </c>
      <c r="F65" s="201">
        <f t="shared" si="4"/>
        <v>0.18228476319549322</v>
      </c>
      <c r="G65" s="99">
        <f t="shared" si="3"/>
        <v>0.30639071771278065</v>
      </c>
      <c r="H65" s="22">
        <f t="shared" si="11"/>
        <v>0.19362984910861569</v>
      </c>
      <c r="I65" s="22">
        <f t="shared" si="12"/>
        <v>22.378122797731208</v>
      </c>
      <c r="J65" s="22">
        <f>IF($I$6="UL",VLOOKUP(I65,'3-SNR-Chan SE vs Range'!$Y$9:$Z$23,2),VLOOKUP(I65,$AH$9:$AI$23,2))</f>
        <v>2</v>
      </c>
      <c r="K65" s="288">
        <f>SUM(J65:J$70)/$A65/((3*3^0.5/2)*H65^2)</f>
        <v>38.497698528566765</v>
      </c>
      <c r="L65" s="201">
        <f t="shared" si="5"/>
        <v>0.19362984910861569</v>
      </c>
      <c r="M65" s="99">
        <f t="shared" si="6"/>
        <v>0.30101861246938011</v>
      </c>
      <c r="N65" s="22">
        <f t="shared" si="13"/>
        <v>0.1935475520562922</v>
      </c>
      <c r="O65" s="22">
        <f t="shared" si="14"/>
        <v>22.439723840817209</v>
      </c>
      <c r="P65" s="22">
        <f>IF($I$6="UL",VLOOKUP(O65,'3-SNR-Chan SE vs Range'!$Y$9:$Z$23,2),VLOOKUP(O65,$AH$9:$AI$23,2))</f>
        <v>2</v>
      </c>
      <c r="Q65" s="288">
        <f>SUM(P65:P$70)/$A65/((3*3^0.5/2)*N65^2)</f>
        <v>38.530444183585296</v>
      </c>
      <c r="R65" s="201">
        <f t="shared" si="7"/>
        <v>0.1935475520562922</v>
      </c>
      <c r="S65" s="99">
        <f t="shared" si="8"/>
        <v>0.3010837239063176</v>
      </c>
    </row>
    <row r="66" spans="1:19">
      <c r="A66">
        <f t="shared" si="9"/>
        <v>5</v>
      </c>
      <c r="B66" s="22">
        <f t="shared" si="15"/>
        <v>0.17114256944926803</v>
      </c>
      <c r="C66" s="22">
        <f t="shared" si="10"/>
        <v>23.743055557938895</v>
      </c>
      <c r="D66" s="22">
        <f>IF($I$6="UL",VLOOKUP(C66,'3-SNR-Chan SE vs Range'!$Y$9:$Z$23,2),VLOOKUP(C66,$AH$9:$AI$23,2))</f>
        <v>3</v>
      </c>
      <c r="E66" s="288">
        <f>SUM(D66:D$70)/$A66/((3*3^0.5/2)*B66^2)</f>
        <v>52.564436001885674</v>
      </c>
      <c r="F66" s="201">
        <f t="shared" si="4"/>
        <v>0.17114256944926803</v>
      </c>
      <c r="G66" s="99">
        <f t="shared" si="3"/>
        <v>0.27007909091904625</v>
      </c>
      <c r="H66" s="22">
        <f t="shared" si="11"/>
        <v>0.18141232608302665</v>
      </c>
      <c r="I66" s="22">
        <f t="shared" si="12"/>
        <v>24.188927689962672</v>
      </c>
      <c r="J66" s="22">
        <f>IF($I$6="UL",VLOOKUP(I66,'3-SNR-Chan SE vs Range'!$Y$9:$Z$23,2),VLOOKUP(I66,$AH$9:$AI$23,2))</f>
        <v>3</v>
      </c>
      <c r="K66" s="288">
        <f>SUM(J66:J$70)/$A66/((3*3^0.5/2)*H66^2)</f>
        <v>47.951079255193292</v>
      </c>
      <c r="L66" s="201">
        <f t="shared" si="5"/>
        <v>0.18141232608302665</v>
      </c>
      <c r="M66" s="99">
        <f t="shared" si="6"/>
        <v>0.26423011838882121</v>
      </c>
      <c r="N66" s="22">
        <f t="shared" si="13"/>
        <v>0.18133912729786864</v>
      </c>
      <c r="O66" s="22">
        <f t="shared" si="14"/>
        <v>24.256943755250429</v>
      </c>
      <c r="P66" s="22">
        <f>IF($I$6="UL",VLOOKUP(O66,'3-SNR-Chan SE vs Range'!$Y$9:$Z$23,2),VLOOKUP(O66,$AH$9:$AI$23,2))</f>
        <v>3</v>
      </c>
      <c r="Q66" s="288">
        <f>SUM(P66:P$70)/$A66/((3*3^0.5/2)*N66^2)</f>
        <v>47.989798633748812</v>
      </c>
      <c r="R66" s="201">
        <f t="shared" si="7"/>
        <v>0.18133912729786864</v>
      </c>
      <c r="S66" s="99">
        <f t="shared" si="8"/>
        <v>0.26429865674349223</v>
      </c>
    </row>
    <row r="67" spans="1:19">
      <c r="A67">
        <f t="shared" si="9"/>
        <v>4</v>
      </c>
      <c r="B67" s="22">
        <f t="shared" si="15"/>
        <v>0.15922255889841119</v>
      </c>
      <c r="C67" s="22">
        <f t="shared" si="10"/>
        <v>25.733215714696801</v>
      </c>
      <c r="D67" s="22">
        <f>IF($I$6="UL",VLOOKUP(C67,'3-SNR-Chan SE vs Range'!$Y$9:$Z$23,2),VLOOKUP(C67,$AH$9:$AI$23,2))</f>
        <v>3</v>
      </c>
      <c r="E67" s="288">
        <f>SUM(D67:D$70)/$A67/((3*3^0.5/2)*B67^2)</f>
        <v>64.524975020068567</v>
      </c>
      <c r="F67" s="201">
        <f t="shared" si="4"/>
        <v>0.15922255889841119</v>
      </c>
      <c r="G67" s="99">
        <f t="shared" si="3"/>
        <v>0.23376746412531185</v>
      </c>
      <c r="H67" s="22">
        <f t="shared" si="11"/>
        <v>0.1683102660085935</v>
      </c>
      <c r="I67" s="22">
        <f t="shared" si="12"/>
        <v>26.271663151033373</v>
      </c>
      <c r="J67" s="22">
        <f>IF($I$6="UL",VLOOKUP(I67,'3-SNR-Chan SE vs Range'!$Y$9:$Z$23,2),VLOOKUP(I67,$AH$9:$AI$23,2))</f>
        <v>3</v>
      </c>
      <c r="K67" s="288">
        <f>SUM(J67:J$70)/$A67/((3*3^0.5/2)*H67^2)</f>
        <v>59.443580161907363</v>
      </c>
      <c r="L67" s="201">
        <f t="shared" si="5"/>
        <v>0.1683102660085935</v>
      </c>
      <c r="M67" s="99">
        <f t="shared" si="6"/>
        <v>0.22744162430826229</v>
      </c>
      <c r="N67" s="22">
        <f t="shared" si="13"/>
        <v>0.16824714937056756</v>
      </c>
      <c r="O67" s="22">
        <f t="shared" si="14"/>
        <v>26.34695351126792</v>
      </c>
      <c r="P67" s="22">
        <f>IF($I$6="UL",VLOOKUP(O67,'3-SNR-Chan SE vs Range'!$Y$9:$Z$23,2),VLOOKUP(O67,$AH$9:$AI$23,2))</f>
        <v>3</v>
      </c>
      <c r="Q67" s="288">
        <f>SUM(P67:P$70)/$A67/((3*3^0.5/2)*N67^2)</f>
        <v>59.488188141186683</v>
      </c>
      <c r="R67" s="201">
        <f t="shared" si="7"/>
        <v>0.16824714937056756</v>
      </c>
      <c r="S67" s="99">
        <f t="shared" si="8"/>
        <v>0.22751358958066681</v>
      </c>
    </row>
    <row r="68" spans="1:19">
      <c r="A68">
        <f t="shared" si="9"/>
        <v>3</v>
      </c>
      <c r="B68" s="22">
        <f t="shared" si="15"/>
        <v>0.1463347786639202</v>
      </c>
      <c r="C68" s="22">
        <f t="shared" si="10"/>
        <v>28.060021598983436</v>
      </c>
      <c r="D68" s="22">
        <f>IF($I$6="UL",VLOOKUP(C68,'3-SNR-Chan SE vs Range'!$Y$9:$Z$23,2),VLOOKUP(C68,$AH$9:$AI$23,2))</f>
        <v>4</v>
      </c>
      <c r="E68" s="288">
        <f>SUM(D68:D$70)/$A68/((3*3^0.5/2)*B68^2)</f>
        <v>83.880263196570596</v>
      </c>
      <c r="F68" s="201">
        <f t="shared" si="4"/>
        <v>0.1463347786639202</v>
      </c>
      <c r="G68" s="99">
        <f t="shared" si="3"/>
        <v>0.19745583733157751</v>
      </c>
      <c r="H68" s="22">
        <f t="shared" si="11"/>
        <v>0.15409821294522727</v>
      </c>
      <c r="I68" s="22">
        <f t="shared" si="12"/>
        <v>28.722682854331424</v>
      </c>
      <c r="J68" s="22">
        <f>IF($I$6="UL",VLOOKUP(I68,'3-SNR-Chan SE vs Range'!$Y$9:$Z$23,2),VLOOKUP(I68,$AH$9:$AI$23,2))</f>
        <v>4.5</v>
      </c>
      <c r="K68" s="288">
        <f>SUM(J68:J$70)/$A68/((3*3^0.5/2)*H68^2)</f>
        <v>78.342902313233608</v>
      </c>
      <c r="L68" s="201">
        <f t="shared" si="5"/>
        <v>0.15409821294522727</v>
      </c>
      <c r="M68" s="99">
        <f t="shared" si="6"/>
        <v>0.19065313022770333</v>
      </c>
      <c r="N68" s="22">
        <f t="shared" si="13"/>
        <v>0.15404651068262321</v>
      </c>
      <c r="O68" s="22">
        <f t="shared" si="14"/>
        <v>28.80636765064175</v>
      </c>
      <c r="P68" s="22">
        <f>IF($I$6="UL",VLOOKUP(O68,'3-SNR-Chan SE vs Range'!$Y$9:$Z$23,2),VLOOKUP(O68,$AH$9:$AI$23,2))</f>
        <v>4.5</v>
      </c>
      <c r="Q68" s="288">
        <f>SUM(P68:P$70)/$A68/((3*3^0.5/2)*N68^2)</f>
        <v>78.395499220769182</v>
      </c>
      <c r="R68" s="201">
        <f t="shared" si="7"/>
        <v>0.15404651068262321</v>
      </c>
      <c r="S68" s="99">
        <f t="shared" si="8"/>
        <v>0.1907285224178415</v>
      </c>
    </row>
    <row r="69" spans="1:19">
      <c r="A69">
        <f t="shared" si="9"/>
        <v>2</v>
      </c>
      <c r="B69" s="22">
        <f t="shared" si="15"/>
        <v>0.13219648872447029</v>
      </c>
      <c r="C69" s="22">
        <f t="shared" si="10"/>
        <v>30.86102323218023</v>
      </c>
      <c r="D69" s="22">
        <f>IF($I$6="UL",VLOOKUP(C69,'3-SNR-Chan SE vs Range'!$Y$9:$Z$23,2),VLOOKUP(C69,$AH$9:$AI$23,2))</f>
        <v>5</v>
      </c>
      <c r="E69" s="288">
        <f>SUM(D69:D$70)/$A69/((3*3^0.5/2)*B69^2)</f>
        <v>110.12306184223532</v>
      </c>
      <c r="F69" s="201">
        <f t="shared" si="4"/>
        <v>0.13219648872447029</v>
      </c>
      <c r="G69" s="99">
        <f t="shared" si="3"/>
        <v>0.16114421053784311</v>
      </c>
      <c r="H69" s="22">
        <f t="shared" si="11"/>
        <v>0.13843472404690133</v>
      </c>
      <c r="I69" s="22">
        <f t="shared" si="12"/>
        <v>31.700816566537124</v>
      </c>
      <c r="J69" s="22">
        <f>IF($I$6="UL",VLOOKUP(I69,'3-SNR-Chan SE vs Range'!$Y$9:$Z$23,2),VLOOKUP(I69,$AH$9:$AI$23,2))</f>
        <v>5</v>
      </c>
      <c r="K69" s="288">
        <f>SUM(J69:J$70)/$A69/((3*3^0.5/2)*H69^2)</f>
        <v>100.42180871460965</v>
      </c>
      <c r="L69" s="201">
        <f t="shared" si="5"/>
        <v>0.13843472404690133</v>
      </c>
      <c r="M69" s="99">
        <f t="shared" si="6"/>
        <v>0.15386463614714443</v>
      </c>
      <c r="N69" s="22">
        <f t="shared" si="13"/>
        <v>0.13839635701730379</v>
      </c>
      <c r="O69" s="22">
        <f t="shared" si="14"/>
        <v>31.794411359164954</v>
      </c>
      <c r="P69" s="22">
        <f>IF($I$6="UL",VLOOKUP(O69,'3-SNR-Chan SE vs Range'!$Y$9:$Z$23,2),VLOOKUP(O69,$AH$9:$AI$23,2))</f>
        <v>5</v>
      </c>
      <c r="Q69" s="288">
        <f>SUM(P69:P$70)/$A69/((3*3^0.5/2)*N69^2)</f>
        <v>100.47749544870953</v>
      </c>
      <c r="R69" s="201">
        <f t="shared" si="7"/>
        <v>0.13839635701730379</v>
      </c>
      <c r="S69" s="99">
        <f t="shared" si="8"/>
        <v>0.15394345525501613</v>
      </c>
    </row>
    <row r="70" spans="1:19">
      <c r="A70">
        <f t="shared" si="9"/>
        <v>1</v>
      </c>
      <c r="B70" s="22">
        <f t="shared" si="15"/>
        <v>0.11635272156481553</v>
      </c>
      <c r="C70" s="22">
        <f t="shared" si="10"/>
        <v>34.38029138564827</v>
      </c>
      <c r="D70" s="22">
        <f>IF($I$6="UL",VLOOKUP(C70,'3-SNR-Chan SE vs Range'!$Y$9:$Z$23,2),VLOOKUP(C70,$AH$9:$AI$23,2))</f>
        <v>5</v>
      </c>
      <c r="E70" s="288">
        <f>SUM(D70:D$70)/$A70/((3*3^0.5/2)*B70^2)</f>
        <v>142.15594462863601</v>
      </c>
      <c r="F70" s="201">
        <f t="shared" si="4"/>
        <v>0.11635272156481553</v>
      </c>
      <c r="G70" s="99">
        <f t="shared" si="3"/>
        <v>0.12483258374410872</v>
      </c>
      <c r="H70" s="22">
        <f t="shared" si="11"/>
        <v>0.12075631002548409</v>
      </c>
      <c r="I70" s="22">
        <f t="shared" si="12"/>
        <v>35.496701580093728</v>
      </c>
      <c r="J70" s="22">
        <f>IF($I$6="UL",VLOOKUP(I70,'3-SNR-Chan SE vs Range'!$Y$9:$Z$23,2),VLOOKUP(I70,$AH$9:$AI$23,2))</f>
        <v>5</v>
      </c>
      <c r="K70" s="288">
        <f>SUM(J70:J$70)/$A70/((3*3^0.5/2)*H70^2)</f>
        <v>131.97706028204954</v>
      </c>
      <c r="L70" s="201">
        <f t="shared" si="5"/>
        <v>0.12075631002548409</v>
      </c>
      <c r="M70" s="99">
        <f t="shared" si="6"/>
        <v>0.11707614206658552</v>
      </c>
      <c r="N70" s="22">
        <f t="shared" si="13"/>
        <v>0.12073431913847232</v>
      </c>
      <c r="O70" s="22">
        <f t="shared" si="14"/>
        <v>35.602351677396186</v>
      </c>
      <c r="P70" s="22">
        <f>IF($I$6="UL",VLOOKUP(O70,'3-SNR-Chan SE vs Range'!$Y$9:$Z$23,2),VLOOKUP(O70,$AH$9:$AI$23,2))</f>
        <v>5</v>
      </c>
      <c r="Q70" s="288">
        <f>SUM(P70:P$70)/$A70/((3*3^0.5/2)*N70^2)</f>
        <v>132.02514200325976</v>
      </c>
      <c r="R70" s="201">
        <f t="shared" si="7"/>
        <v>0.12073431913847232</v>
      </c>
      <c r="S70" s="99">
        <f t="shared" si="8"/>
        <v>0.11715838809219074</v>
      </c>
    </row>
    <row r="71" spans="1:19">
      <c r="A71">
        <f t="shared" si="9"/>
        <v>0</v>
      </c>
      <c r="B71" s="22">
        <v>0.1</v>
      </c>
      <c r="C71" s="22">
        <f t="shared" si="10"/>
        <v>38.555457653671908</v>
      </c>
      <c r="D71" s="22">
        <f>IF($I$6="UL",VLOOKUP(C71,'3-SNR-Chan SE vs Range'!$Y$9:$Z$23,2),VLOOKUP(C71,$AH$9:$AI$23,2))</f>
        <v>5</v>
      </c>
      <c r="E71" s="201"/>
      <c r="F71" s="201">
        <f>B71</f>
        <v>0.1</v>
      </c>
      <c r="G71" s="99">
        <f t="shared" si="3"/>
        <v>9.2209330156640151E-2</v>
      </c>
      <c r="H71" s="22">
        <v>0.1</v>
      </c>
      <c r="I71" s="22">
        <f t="shared" si="12"/>
        <v>40.736766178998764</v>
      </c>
      <c r="J71" s="22">
        <f>IF($I$6="UL",VLOOKUP(I71,'3-SNR-Chan SE vs Range'!$Y$9:$Z$23,2),VLOOKUP(I71,$AH$9:$AI$23,2))</f>
        <v>5</v>
      </c>
      <c r="K71" s="201"/>
      <c r="L71" s="201">
        <f t="shared" si="5"/>
        <v>0.1</v>
      </c>
      <c r="M71" s="99">
        <f>H71^2/H$46^2</f>
        <v>8.0287647986027111E-2</v>
      </c>
      <c r="N71" s="193">
        <f>H71</f>
        <v>0.1</v>
      </c>
      <c r="O71" s="22">
        <f t="shared" si="14"/>
        <v>40.857638529216658</v>
      </c>
      <c r="P71" s="22">
        <f>IF($I$6="UL",VLOOKUP(O71,'3-SNR-Chan SE vs Range'!$Y$9:$Z$23,2),VLOOKUP(O71,$AH$9:$AI$23,2))</f>
        <v>5</v>
      </c>
      <c r="Q71" s="201"/>
      <c r="R71" s="201">
        <f t="shared" si="7"/>
        <v>0.1</v>
      </c>
      <c r="S71" s="99">
        <f>N71^2/N$46^2</f>
        <v>8.0373320929365777E-2</v>
      </c>
    </row>
    <row r="72" spans="1:19">
      <c r="B72" s="130"/>
      <c r="C72" s="12"/>
      <c r="D72" s="12"/>
      <c r="E72" s="131"/>
      <c r="F72" s="131"/>
      <c r="G72" s="132"/>
      <c r="H72" s="130"/>
      <c r="I72" s="12"/>
      <c r="J72" s="12"/>
      <c r="K72" s="131"/>
      <c r="L72" s="131"/>
      <c r="M72" s="132"/>
      <c r="N72" s="130"/>
      <c r="O72" s="12"/>
      <c r="P72" s="12"/>
      <c r="Q72" s="12"/>
      <c r="R72" s="12"/>
      <c r="S72" s="132"/>
    </row>
    <row r="74" spans="1:19" ht="30">
      <c r="A74" s="118" t="s">
        <v>30</v>
      </c>
      <c r="B74" s="3" t="s">
        <v>60</v>
      </c>
      <c r="C74" s="133" t="str">
        <f>B39</f>
        <v>n/a</v>
      </c>
      <c r="D74" s="128" t="s">
        <v>114</v>
      </c>
      <c r="E74" s="134"/>
      <c r="F74" s="134"/>
      <c r="G74" s="134"/>
      <c r="H74" s="3" t="s">
        <v>59</v>
      </c>
      <c r="I74" s="133" t="str">
        <f>C39</f>
        <v>n/a</v>
      </c>
      <c r="J74" s="128" t="s">
        <v>114</v>
      </c>
      <c r="K74" s="134"/>
      <c r="L74" s="134"/>
      <c r="M74" s="134"/>
      <c r="N74" s="63" t="s">
        <v>36</v>
      </c>
      <c r="O74" s="133" t="str">
        <f>D39</f>
        <v>n/a</v>
      </c>
      <c r="P74" s="128" t="s">
        <v>114</v>
      </c>
      <c r="Q74" s="134"/>
      <c r="R74" s="134"/>
      <c r="S74" s="135"/>
    </row>
    <row r="75" spans="1:19" ht="60">
      <c r="B75" s="3" t="s">
        <v>95</v>
      </c>
      <c r="C75" s="3" t="s">
        <v>96</v>
      </c>
      <c r="D75" s="737" t="str">
        <f>IF($I$6="UL","UL SE (bps/Hz)","DL SE (bps/Hz)")</f>
        <v>UL SE (bps/Hz)</v>
      </c>
      <c r="E75" s="737" t="s">
        <v>577</v>
      </c>
      <c r="F75" s="286" t="s">
        <v>95</v>
      </c>
      <c r="G75" s="3" t="s">
        <v>97</v>
      </c>
      <c r="H75" s="3" t="s">
        <v>95</v>
      </c>
      <c r="I75" s="3" t="s">
        <v>96</v>
      </c>
      <c r="J75" s="737" t="str">
        <f>IF($I$6="UL","UL SE (bps/Hz)","DL SE (bps/Hz)")</f>
        <v>UL SE (bps/Hz)</v>
      </c>
      <c r="K75" s="737" t="s">
        <v>577</v>
      </c>
      <c r="L75" s="286" t="s">
        <v>95</v>
      </c>
      <c r="M75" s="3" t="s">
        <v>97</v>
      </c>
      <c r="N75" s="3" t="s">
        <v>95</v>
      </c>
      <c r="O75" s="3" t="s">
        <v>96</v>
      </c>
      <c r="P75" s="737" t="str">
        <f>IF($I$6="UL","UL SE (bps/Hz)","DL SE (bps/Hz)")</f>
        <v>UL SE (bps/Hz)</v>
      </c>
      <c r="Q75" s="737" t="s">
        <v>577</v>
      </c>
      <c r="R75" s="286" t="s">
        <v>95</v>
      </c>
      <c r="S75" s="3" t="s">
        <v>97</v>
      </c>
    </row>
    <row r="76" spans="1:19">
      <c r="A76">
        <v>25</v>
      </c>
      <c r="B76" s="22" t="str">
        <f>B14</f>
        <v>n/a</v>
      </c>
      <c r="C76" s="22">
        <f>$B$5</f>
        <v>5.7</v>
      </c>
      <c r="D76" s="22">
        <f>IF($I$6="UL",VLOOKUP(C76,'3-SNR-Chan SE vs Range'!$Y$9:$Z$23,2),VLOOKUP(C76,$AH$9:$AI$23,2))</f>
        <v>0.16666666666666666</v>
      </c>
      <c r="E76" s="288" t="e">
        <f>SUM(D76:D$100)/$A76/((3*3^0.5/2)*B76^2)</f>
        <v>#VALUE!</v>
      </c>
      <c r="F76" s="201" t="str">
        <f>B76</f>
        <v>n/a</v>
      </c>
      <c r="G76" s="99" t="e">
        <f>B76^2/B$76^2</f>
        <v>#VALUE!</v>
      </c>
      <c r="H76" s="241" t="str">
        <f>C14</f>
        <v>n/a</v>
      </c>
      <c r="I76" s="22">
        <f>$B$5</f>
        <v>5.7</v>
      </c>
      <c r="J76" s="22">
        <f>IF($I$6="UL",VLOOKUP(I76,'3-SNR-Chan SE vs Range'!$Y$9:$Z$23,2),VLOOKUP(I76,$AH$9:$AI$23,2))</f>
        <v>0.16666666666666666</v>
      </c>
      <c r="K76" s="288" t="e">
        <f>SUM(J76:J$100)/$A76/((3*3^0.5/2)*H76^2)</f>
        <v>#VALUE!</v>
      </c>
      <c r="L76" s="201" t="str">
        <f>H76</f>
        <v>n/a</v>
      </c>
      <c r="M76" s="99" t="e">
        <f>H76^2/H$76^2</f>
        <v>#VALUE!</v>
      </c>
      <c r="N76" s="241" t="str">
        <f>D14</f>
        <v>n/a</v>
      </c>
      <c r="O76" s="22">
        <f>$B$5</f>
        <v>5.7</v>
      </c>
      <c r="P76" s="22">
        <f>IF($I$6="UL",VLOOKUP(O76,'3-SNR-Chan SE vs Range'!$Y$9:$Z$23,2),VLOOKUP(O76,$AH$9:$AI$23,2))</f>
        <v>0.16666666666666666</v>
      </c>
      <c r="Q76" s="288" t="e">
        <f>SUM(P76:P$100)/$A76/((3*3^0.5/2)*N76^2)</f>
        <v>#VALUE!</v>
      </c>
      <c r="R76" s="201" t="str">
        <f>N76</f>
        <v>n/a</v>
      </c>
      <c r="S76" s="99" t="e">
        <f>N76^2/N$76^2</f>
        <v>#VALUE!</v>
      </c>
    </row>
    <row r="77" spans="1:19">
      <c r="A77">
        <f>A76-1</f>
        <v>24</v>
      </c>
      <c r="B77" s="22" t="e">
        <f>(B76^2-(B$76^2-B$101^2)/25)^0.5</f>
        <v>#VALUE!</v>
      </c>
      <c r="C77" s="22" t="e">
        <f>C$76+C$74*LOG10(B$76/B77)</f>
        <v>#VALUE!</v>
      </c>
      <c r="D77" s="22" t="e">
        <f>IF($I$6="UL",VLOOKUP(C77,'3-SNR-Chan SE vs Range'!$Y$9:$Z$23,2),VLOOKUP(C77,$AH$9:$AI$23,2))</f>
        <v>#VALUE!</v>
      </c>
      <c r="E77" s="288" t="e">
        <f>SUM(D77:D$100)/$A77/((3*3^0.5/2)*B77^2)</f>
        <v>#VALUE!</v>
      </c>
      <c r="F77" s="201" t="e">
        <f t="shared" ref="F77:F100" si="16">B77</f>
        <v>#VALUE!</v>
      </c>
      <c r="G77" s="99" t="e">
        <f t="shared" ref="G77:G101" si="17">B77^2/B$76^2</f>
        <v>#VALUE!</v>
      </c>
      <c r="H77" s="22" t="e">
        <f>(H76^2-(H$76^2-H$101^2)/25)^0.5</f>
        <v>#VALUE!</v>
      </c>
      <c r="I77" s="22" t="e">
        <f>I$76+I$74*LOG10(H$76/H77)</f>
        <v>#VALUE!</v>
      </c>
      <c r="J77" s="22" t="e">
        <f>IF($I$6="UL",VLOOKUP(I77,'3-SNR-Chan SE vs Range'!$Y$9:$Z$23,2),VLOOKUP(I77,$AH$9:$AI$23,2))</f>
        <v>#VALUE!</v>
      </c>
      <c r="K77" s="288" t="e">
        <f>SUM(J77:J$100)/$A77/((3*3^0.5/2)*H77^2)</f>
        <v>#VALUE!</v>
      </c>
      <c r="L77" s="201" t="e">
        <f t="shared" ref="L77:L100" si="18">H77</f>
        <v>#VALUE!</v>
      </c>
      <c r="M77" s="99" t="e">
        <f t="shared" ref="M77:M101" si="19">H77^2/H$76^2</f>
        <v>#VALUE!</v>
      </c>
      <c r="N77" s="22" t="e">
        <f>(N76^2-(N$76^2-N$101^2)/25)^0.5</f>
        <v>#VALUE!</v>
      </c>
      <c r="O77" s="22" t="e">
        <f>O$76+O$74*LOG10(N$76/N77)</f>
        <v>#VALUE!</v>
      </c>
      <c r="P77" s="22" t="e">
        <f>IF($I$6="UL",VLOOKUP(O77,'3-SNR-Chan SE vs Range'!$Y$9:$Z$23,2),VLOOKUP(O77,$AH$9:$AI$23,2))</f>
        <v>#VALUE!</v>
      </c>
      <c r="Q77" s="288" t="e">
        <f>SUM(P77:P$100)/$A77/((3*3^0.5/2)*N77^2)</f>
        <v>#VALUE!</v>
      </c>
      <c r="R77" s="201" t="e">
        <f t="shared" ref="R77:R100" si="20">N77</f>
        <v>#VALUE!</v>
      </c>
      <c r="S77" s="99" t="e">
        <f t="shared" ref="S77:S101" si="21">N77^2/N$76^2</f>
        <v>#VALUE!</v>
      </c>
    </row>
    <row r="78" spans="1:19">
      <c r="A78">
        <f t="shared" ref="A78:A101" si="22">A77-1</f>
        <v>23</v>
      </c>
      <c r="B78" s="22" t="e">
        <f t="shared" ref="B78:B100" si="23">(B77^2-(B$76^2-B$101^2)/25)^0.5</f>
        <v>#VALUE!</v>
      </c>
      <c r="C78" s="22" t="e">
        <f t="shared" ref="C78:C101" si="24">C$76+C$74*LOG10(B$76/B78)</f>
        <v>#VALUE!</v>
      </c>
      <c r="D78" s="22" t="e">
        <f>IF($I$6="UL",VLOOKUP(C78,'3-SNR-Chan SE vs Range'!$Y$9:$Z$23,2),VLOOKUP(C78,$AH$9:$AI$23,2))</f>
        <v>#VALUE!</v>
      </c>
      <c r="E78" s="288" t="e">
        <f>SUM(D78:D$100)/$A78/((3*3^0.5/2)*B78^2)</f>
        <v>#VALUE!</v>
      </c>
      <c r="F78" s="201" t="e">
        <f t="shared" si="16"/>
        <v>#VALUE!</v>
      </c>
      <c r="G78" s="99" t="e">
        <f t="shared" si="17"/>
        <v>#VALUE!</v>
      </c>
      <c r="H78" s="22" t="e">
        <f t="shared" ref="H78:H100" si="25">(H77^2-(H$76^2-H$101^2)/25)^0.5</f>
        <v>#VALUE!</v>
      </c>
      <c r="I78" s="22" t="e">
        <f t="shared" ref="I78:I101" si="26">I$76+I$74*LOG10(H$76/H78)</f>
        <v>#VALUE!</v>
      </c>
      <c r="J78" s="22" t="e">
        <f>IF($I$6="UL",VLOOKUP(I78,'3-SNR-Chan SE vs Range'!$Y$9:$Z$23,2),VLOOKUP(I78,$AH$9:$AI$23,2))</f>
        <v>#VALUE!</v>
      </c>
      <c r="K78" s="288" t="e">
        <f>SUM(J78:J$100)/$A78/((3*3^0.5/2)*H78^2)</f>
        <v>#VALUE!</v>
      </c>
      <c r="L78" s="201" t="e">
        <f t="shared" si="18"/>
        <v>#VALUE!</v>
      </c>
      <c r="M78" s="99" t="e">
        <f t="shared" si="19"/>
        <v>#VALUE!</v>
      </c>
      <c r="N78" s="22" t="e">
        <f t="shared" ref="N78:N100" si="27">(N77^2-(N$76^2-N$101^2)/25)^0.5</f>
        <v>#VALUE!</v>
      </c>
      <c r="O78" s="22" t="e">
        <f t="shared" ref="O78:O101" si="28">O$76+O$74*LOG10(N$76/N78)</f>
        <v>#VALUE!</v>
      </c>
      <c r="P78" s="22" t="e">
        <f>IF($I$6="UL",VLOOKUP(O78,'3-SNR-Chan SE vs Range'!$Y$9:$Z$23,2),VLOOKUP(O78,$AH$9:$AI$23,2))</f>
        <v>#VALUE!</v>
      </c>
      <c r="Q78" s="288" t="e">
        <f>SUM(P78:P$100)/$A78/((3*3^0.5/2)*N78^2)</f>
        <v>#VALUE!</v>
      </c>
      <c r="R78" s="201" t="e">
        <f t="shared" si="20"/>
        <v>#VALUE!</v>
      </c>
      <c r="S78" s="99" t="e">
        <f t="shared" si="21"/>
        <v>#VALUE!</v>
      </c>
    </row>
    <row r="79" spans="1:19">
      <c r="A79">
        <f t="shared" si="22"/>
        <v>22</v>
      </c>
      <c r="B79" s="22" t="e">
        <f t="shared" si="23"/>
        <v>#VALUE!</v>
      </c>
      <c r="C79" s="22" t="e">
        <f t="shared" si="24"/>
        <v>#VALUE!</v>
      </c>
      <c r="D79" s="22" t="e">
        <f>IF($I$6="UL",VLOOKUP(C79,'3-SNR-Chan SE vs Range'!$Y$9:$Z$23,2),VLOOKUP(C79,$AH$9:$AI$23,2))</f>
        <v>#VALUE!</v>
      </c>
      <c r="E79" s="288" t="e">
        <f>SUM(D79:D$100)/$A79/((3*3^0.5/2)*B79^2)</f>
        <v>#VALUE!</v>
      </c>
      <c r="F79" s="201" t="e">
        <f t="shared" si="16"/>
        <v>#VALUE!</v>
      </c>
      <c r="G79" s="99" t="e">
        <f t="shared" si="17"/>
        <v>#VALUE!</v>
      </c>
      <c r="H79" s="22" t="e">
        <f t="shared" si="25"/>
        <v>#VALUE!</v>
      </c>
      <c r="I79" s="22" t="e">
        <f t="shared" si="26"/>
        <v>#VALUE!</v>
      </c>
      <c r="J79" s="22" t="e">
        <f>IF($I$6="UL",VLOOKUP(I79,'3-SNR-Chan SE vs Range'!$Y$9:$Z$23,2),VLOOKUP(I79,$AH$9:$AI$23,2))</f>
        <v>#VALUE!</v>
      </c>
      <c r="K79" s="288" t="e">
        <f>SUM(J79:J$100)/$A79/((3*3^0.5/2)*H79^2)</f>
        <v>#VALUE!</v>
      </c>
      <c r="L79" s="201" t="e">
        <f t="shared" si="18"/>
        <v>#VALUE!</v>
      </c>
      <c r="M79" s="99" t="e">
        <f t="shared" si="19"/>
        <v>#VALUE!</v>
      </c>
      <c r="N79" s="22" t="e">
        <f t="shared" si="27"/>
        <v>#VALUE!</v>
      </c>
      <c r="O79" s="22" t="e">
        <f t="shared" si="28"/>
        <v>#VALUE!</v>
      </c>
      <c r="P79" s="22" t="e">
        <f>IF($I$6="UL",VLOOKUP(O79,'3-SNR-Chan SE vs Range'!$Y$9:$Z$23,2),VLOOKUP(O79,$AH$9:$AI$23,2))</f>
        <v>#VALUE!</v>
      </c>
      <c r="Q79" s="288" t="e">
        <f>SUM(P79:P$100)/$A79/((3*3^0.5/2)*N79^2)</f>
        <v>#VALUE!</v>
      </c>
      <c r="R79" s="201" t="e">
        <f t="shared" si="20"/>
        <v>#VALUE!</v>
      </c>
      <c r="S79" s="99" t="e">
        <f t="shared" si="21"/>
        <v>#VALUE!</v>
      </c>
    </row>
    <row r="80" spans="1:19">
      <c r="A80">
        <f t="shared" si="22"/>
        <v>21</v>
      </c>
      <c r="B80" s="22" t="e">
        <f t="shared" si="23"/>
        <v>#VALUE!</v>
      </c>
      <c r="C80" s="22" t="e">
        <f t="shared" si="24"/>
        <v>#VALUE!</v>
      </c>
      <c r="D80" s="22" t="e">
        <f>IF($I$6="UL",VLOOKUP(C80,'3-SNR-Chan SE vs Range'!$Y$9:$Z$23,2),VLOOKUP(C80,$AH$9:$AI$23,2))</f>
        <v>#VALUE!</v>
      </c>
      <c r="E80" s="288" t="e">
        <f>SUM(D80:D$100)/$A80/((3*3^0.5/2)*B80^2)</f>
        <v>#VALUE!</v>
      </c>
      <c r="F80" s="201" t="e">
        <f t="shared" si="16"/>
        <v>#VALUE!</v>
      </c>
      <c r="G80" s="99" t="e">
        <f t="shared" si="17"/>
        <v>#VALUE!</v>
      </c>
      <c r="H80" s="22" t="e">
        <f t="shared" si="25"/>
        <v>#VALUE!</v>
      </c>
      <c r="I80" s="22" t="e">
        <f t="shared" si="26"/>
        <v>#VALUE!</v>
      </c>
      <c r="J80" s="22" t="e">
        <f>IF($I$6="UL",VLOOKUP(I80,'3-SNR-Chan SE vs Range'!$Y$9:$Z$23,2),VLOOKUP(I80,$AH$9:$AI$23,2))</f>
        <v>#VALUE!</v>
      </c>
      <c r="K80" s="288" t="e">
        <f>SUM(J80:J$100)/$A80/((3*3^0.5/2)*H80^2)</f>
        <v>#VALUE!</v>
      </c>
      <c r="L80" s="201" t="e">
        <f t="shared" si="18"/>
        <v>#VALUE!</v>
      </c>
      <c r="M80" s="99" t="e">
        <f t="shared" si="19"/>
        <v>#VALUE!</v>
      </c>
      <c r="N80" s="22" t="e">
        <f t="shared" si="27"/>
        <v>#VALUE!</v>
      </c>
      <c r="O80" s="22" t="e">
        <f t="shared" si="28"/>
        <v>#VALUE!</v>
      </c>
      <c r="P80" s="22" t="e">
        <f>IF($I$6="UL",VLOOKUP(O80,'3-SNR-Chan SE vs Range'!$Y$9:$Z$23,2),VLOOKUP(O80,$AH$9:$AI$23,2))</f>
        <v>#VALUE!</v>
      </c>
      <c r="Q80" s="288" t="e">
        <f>SUM(P80:P$100)/$A80/((3*3^0.5/2)*N80^2)</f>
        <v>#VALUE!</v>
      </c>
      <c r="R80" s="201" t="e">
        <f t="shared" si="20"/>
        <v>#VALUE!</v>
      </c>
      <c r="S80" s="99" t="e">
        <f t="shared" si="21"/>
        <v>#VALUE!</v>
      </c>
    </row>
    <row r="81" spans="1:19">
      <c r="A81">
        <f t="shared" si="22"/>
        <v>20</v>
      </c>
      <c r="B81" s="22" t="e">
        <f t="shared" si="23"/>
        <v>#VALUE!</v>
      </c>
      <c r="C81" s="22" t="e">
        <f t="shared" si="24"/>
        <v>#VALUE!</v>
      </c>
      <c r="D81" s="22" t="e">
        <f>IF($I$6="UL",VLOOKUP(C81,'3-SNR-Chan SE vs Range'!$Y$9:$Z$23,2),VLOOKUP(C81,$AH$9:$AI$23,2))</f>
        <v>#VALUE!</v>
      </c>
      <c r="E81" s="288" t="e">
        <f>SUM(D81:D$100)/$A81/((3*3^0.5/2)*B81^2)</f>
        <v>#VALUE!</v>
      </c>
      <c r="F81" s="201" t="e">
        <f t="shared" si="16"/>
        <v>#VALUE!</v>
      </c>
      <c r="G81" s="99" t="e">
        <f t="shared" si="17"/>
        <v>#VALUE!</v>
      </c>
      <c r="H81" s="22" t="e">
        <f t="shared" si="25"/>
        <v>#VALUE!</v>
      </c>
      <c r="I81" s="22" t="e">
        <f t="shared" si="26"/>
        <v>#VALUE!</v>
      </c>
      <c r="J81" s="22" t="e">
        <f>IF($I$6="UL",VLOOKUP(I81,'3-SNR-Chan SE vs Range'!$Y$9:$Z$23,2),VLOOKUP(I81,$AH$9:$AI$23,2))</f>
        <v>#VALUE!</v>
      </c>
      <c r="K81" s="288" t="e">
        <f>SUM(J81:J$100)/$A81/((3*3^0.5/2)*H81^2)</f>
        <v>#VALUE!</v>
      </c>
      <c r="L81" s="201" t="e">
        <f t="shared" si="18"/>
        <v>#VALUE!</v>
      </c>
      <c r="M81" s="99" t="e">
        <f t="shared" si="19"/>
        <v>#VALUE!</v>
      </c>
      <c r="N81" s="22" t="e">
        <f t="shared" si="27"/>
        <v>#VALUE!</v>
      </c>
      <c r="O81" s="22" t="e">
        <f t="shared" si="28"/>
        <v>#VALUE!</v>
      </c>
      <c r="P81" s="22" t="e">
        <f>IF($I$6="UL",VLOOKUP(O81,'3-SNR-Chan SE vs Range'!$Y$9:$Z$23,2),VLOOKUP(O81,$AH$9:$AI$23,2))</f>
        <v>#VALUE!</v>
      </c>
      <c r="Q81" s="288" t="e">
        <f>SUM(P81:P$100)/$A81/((3*3^0.5/2)*N81^2)</f>
        <v>#VALUE!</v>
      </c>
      <c r="R81" s="201" t="e">
        <f t="shared" si="20"/>
        <v>#VALUE!</v>
      </c>
      <c r="S81" s="99" t="e">
        <f t="shared" si="21"/>
        <v>#VALUE!</v>
      </c>
    </row>
    <row r="82" spans="1:19">
      <c r="A82">
        <f t="shared" si="22"/>
        <v>19</v>
      </c>
      <c r="B82" s="22" t="e">
        <f t="shared" si="23"/>
        <v>#VALUE!</v>
      </c>
      <c r="C82" s="22" t="e">
        <f t="shared" si="24"/>
        <v>#VALUE!</v>
      </c>
      <c r="D82" s="22" t="e">
        <f>IF($I$6="UL",VLOOKUP(C82,'3-SNR-Chan SE vs Range'!$Y$9:$Z$23,2),VLOOKUP(C82,$AH$9:$AI$23,2))</f>
        <v>#VALUE!</v>
      </c>
      <c r="E82" s="288" t="e">
        <f>SUM(D82:D$100)/$A82/((3*3^0.5/2)*B82^2)</f>
        <v>#VALUE!</v>
      </c>
      <c r="F82" s="201" t="e">
        <f t="shared" si="16"/>
        <v>#VALUE!</v>
      </c>
      <c r="G82" s="99" t="e">
        <f t="shared" si="17"/>
        <v>#VALUE!</v>
      </c>
      <c r="H82" s="22" t="e">
        <f t="shared" si="25"/>
        <v>#VALUE!</v>
      </c>
      <c r="I82" s="22" t="e">
        <f t="shared" si="26"/>
        <v>#VALUE!</v>
      </c>
      <c r="J82" s="22" t="e">
        <f>IF($I$6="UL",VLOOKUP(I82,'3-SNR-Chan SE vs Range'!$Y$9:$Z$23,2),VLOOKUP(I82,$AH$9:$AI$23,2))</f>
        <v>#VALUE!</v>
      </c>
      <c r="K82" s="288" t="e">
        <f>SUM(J82:J$100)/$A82/((3*3^0.5/2)*H82^2)</f>
        <v>#VALUE!</v>
      </c>
      <c r="L82" s="201" t="e">
        <f t="shared" si="18"/>
        <v>#VALUE!</v>
      </c>
      <c r="M82" s="99" t="e">
        <f t="shared" si="19"/>
        <v>#VALUE!</v>
      </c>
      <c r="N82" s="22" t="e">
        <f t="shared" si="27"/>
        <v>#VALUE!</v>
      </c>
      <c r="O82" s="22" t="e">
        <f t="shared" si="28"/>
        <v>#VALUE!</v>
      </c>
      <c r="P82" s="22" t="e">
        <f>IF($I$6="UL",VLOOKUP(O82,'3-SNR-Chan SE vs Range'!$Y$9:$Z$23,2),VLOOKUP(O82,$AH$9:$AI$23,2))</f>
        <v>#VALUE!</v>
      </c>
      <c r="Q82" s="288" t="e">
        <f>SUM(P82:P$100)/$A82/((3*3^0.5/2)*N82^2)</f>
        <v>#VALUE!</v>
      </c>
      <c r="R82" s="201" t="e">
        <f t="shared" si="20"/>
        <v>#VALUE!</v>
      </c>
      <c r="S82" s="99" t="e">
        <f t="shared" si="21"/>
        <v>#VALUE!</v>
      </c>
    </row>
    <row r="83" spans="1:19">
      <c r="A83">
        <f t="shared" si="22"/>
        <v>18</v>
      </c>
      <c r="B83" s="22" t="e">
        <f t="shared" si="23"/>
        <v>#VALUE!</v>
      </c>
      <c r="C83" s="22" t="e">
        <f t="shared" si="24"/>
        <v>#VALUE!</v>
      </c>
      <c r="D83" s="22" t="e">
        <f>IF($I$6="UL",VLOOKUP(C83,'3-SNR-Chan SE vs Range'!$Y$9:$Z$23,2),VLOOKUP(C83,$AH$9:$AI$23,2))</f>
        <v>#VALUE!</v>
      </c>
      <c r="E83" s="288" t="e">
        <f>SUM(D83:D$100)/$A83/((3*3^0.5/2)*B83^2)</f>
        <v>#VALUE!</v>
      </c>
      <c r="F83" s="201" t="e">
        <f t="shared" si="16"/>
        <v>#VALUE!</v>
      </c>
      <c r="G83" s="99" t="e">
        <f t="shared" si="17"/>
        <v>#VALUE!</v>
      </c>
      <c r="H83" s="22" t="e">
        <f t="shared" si="25"/>
        <v>#VALUE!</v>
      </c>
      <c r="I83" s="22" t="e">
        <f t="shared" si="26"/>
        <v>#VALUE!</v>
      </c>
      <c r="J83" s="22" t="e">
        <f>IF($I$6="UL",VLOOKUP(I83,'3-SNR-Chan SE vs Range'!$Y$9:$Z$23,2),VLOOKUP(I83,$AH$9:$AI$23,2))</f>
        <v>#VALUE!</v>
      </c>
      <c r="K83" s="288" t="e">
        <f>SUM(J83:J$100)/$A83/((3*3^0.5/2)*H83^2)</f>
        <v>#VALUE!</v>
      </c>
      <c r="L83" s="201" t="e">
        <f t="shared" si="18"/>
        <v>#VALUE!</v>
      </c>
      <c r="M83" s="99" t="e">
        <f t="shared" si="19"/>
        <v>#VALUE!</v>
      </c>
      <c r="N83" s="22" t="e">
        <f t="shared" si="27"/>
        <v>#VALUE!</v>
      </c>
      <c r="O83" s="22" t="e">
        <f t="shared" si="28"/>
        <v>#VALUE!</v>
      </c>
      <c r="P83" s="22" t="e">
        <f>IF($I$6="UL",VLOOKUP(O83,'3-SNR-Chan SE vs Range'!$Y$9:$Z$23,2),VLOOKUP(O83,$AH$9:$AI$23,2))</f>
        <v>#VALUE!</v>
      </c>
      <c r="Q83" s="288" t="e">
        <f>SUM(P83:P$100)/$A83/((3*3^0.5/2)*N83^2)</f>
        <v>#VALUE!</v>
      </c>
      <c r="R83" s="201" t="e">
        <f t="shared" si="20"/>
        <v>#VALUE!</v>
      </c>
      <c r="S83" s="99" t="e">
        <f t="shared" si="21"/>
        <v>#VALUE!</v>
      </c>
    </row>
    <row r="84" spans="1:19">
      <c r="A84">
        <f t="shared" si="22"/>
        <v>17</v>
      </c>
      <c r="B84" s="22" t="e">
        <f t="shared" si="23"/>
        <v>#VALUE!</v>
      </c>
      <c r="C84" s="22" t="e">
        <f t="shared" si="24"/>
        <v>#VALUE!</v>
      </c>
      <c r="D84" s="22" t="e">
        <f>IF($I$6="UL",VLOOKUP(C84,'3-SNR-Chan SE vs Range'!$Y$9:$Z$23,2),VLOOKUP(C84,$AH$9:$AI$23,2))</f>
        <v>#VALUE!</v>
      </c>
      <c r="E84" s="288" t="e">
        <f>SUM(D84:D$100)/$A84/((3*3^0.5/2)*B84^2)</f>
        <v>#VALUE!</v>
      </c>
      <c r="F84" s="201" t="e">
        <f t="shared" si="16"/>
        <v>#VALUE!</v>
      </c>
      <c r="G84" s="99" t="e">
        <f t="shared" si="17"/>
        <v>#VALUE!</v>
      </c>
      <c r="H84" s="22" t="e">
        <f t="shared" si="25"/>
        <v>#VALUE!</v>
      </c>
      <c r="I84" s="22" t="e">
        <f t="shared" si="26"/>
        <v>#VALUE!</v>
      </c>
      <c r="J84" s="22" t="e">
        <f>IF($I$6="UL",VLOOKUP(I84,'3-SNR-Chan SE vs Range'!$Y$9:$Z$23,2),VLOOKUP(I84,$AH$9:$AI$23,2))</f>
        <v>#VALUE!</v>
      </c>
      <c r="K84" s="288" t="e">
        <f>SUM(J84:J$100)/$A84/((3*3^0.5/2)*H84^2)</f>
        <v>#VALUE!</v>
      </c>
      <c r="L84" s="201" t="e">
        <f t="shared" si="18"/>
        <v>#VALUE!</v>
      </c>
      <c r="M84" s="99" t="e">
        <f t="shared" si="19"/>
        <v>#VALUE!</v>
      </c>
      <c r="N84" s="22" t="e">
        <f t="shared" si="27"/>
        <v>#VALUE!</v>
      </c>
      <c r="O84" s="22" t="e">
        <f t="shared" si="28"/>
        <v>#VALUE!</v>
      </c>
      <c r="P84" s="22" t="e">
        <f>IF($I$6="UL",VLOOKUP(O84,'3-SNR-Chan SE vs Range'!$Y$9:$Z$23,2),VLOOKUP(O84,$AH$9:$AI$23,2))</f>
        <v>#VALUE!</v>
      </c>
      <c r="Q84" s="288" t="e">
        <f>SUM(P84:P$100)/$A84/((3*3^0.5/2)*N84^2)</f>
        <v>#VALUE!</v>
      </c>
      <c r="R84" s="201" t="e">
        <f t="shared" si="20"/>
        <v>#VALUE!</v>
      </c>
      <c r="S84" s="99" t="e">
        <f t="shared" si="21"/>
        <v>#VALUE!</v>
      </c>
    </row>
    <row r="85" spans="1:19">
      <c r="A85">
        <f t="shared" si="22"/>
        <v>16</v>
      </c>
      <c r="B85" s="22" t="e">
        <f t="shared" si="23"/>
        <v>#VALUE!</v>
      </c>
      <c r="C85" s="22" t="e">
        <f t="shared" si="24"/>
        <v>#VALUE!</v>
      </c>
      <c r="D85" s="22" t="e">
        <f>IF($I$6="UL",VLOOKUP(C85,'3-SNR-Chan SE vs Range'!$Y$9:$Z$23,2),VLOOKUP(C85,$AH$9:$AI$23,2))</f>
        <v>#VALUE!</v>
      </c>
      <c r="E85" s="288" t="e">
        <f>SUM(D85:D$100)/$A85/((3*3^0.5/2)*B85^2)</f>
        <v>#VALUE!</v>
      </c>
      <c r="F85" s="201" t="e">
        <f t="shared" si="16"/>
        <v>#VALUE!</v>
      </c>
      <c r="G85" s="99" t="e">
        <f t="shared" si="17"/>
        <v>#VALUE!</v>
      </c>
      <c r="H85" s="22" t="e">
        <f t="shared" si="25"/>
        <v>#VALUE!</v>
      </c>
      <c r="I85" s="22" t="e">
        <f t="shared" si="26"/>
        <v>#VALUE!</v>
      </c>
      <c r="J85" s="22" t="e">
        <f>IF($I$6="UL",VLOOKUP(I85,'3-SNR-Chan SE vs Range'!$Y$9:$Z$23,2),VLOOKUP(I85,$AH$9:$AI$23,2))</f>
        <v>#VALUE!</v>
      </c>
      <c r="K85" s="288" t="e">
        <f>SUM(J85:J$100)/$A85/((3*3^0.5/2)*H85^2)</f>
        <v>#VALUE!</v>
      </c>
      <c r="L85" s="201" t="e">
        <f t="shared" si="18"/>
        <v>#VALUE!</v>
      </c>
      <c r="M85" s="99" t="e">
        <f t="shared" si="19"/>
        <v>#VALUE!</v>
      </c>
      <c r="N85" s="22" t="e">
        <f t="shared" si="27"/>
        <v>#VALUE!</v>
      </c>
      <c r="O85" s="22" t="e">
        <f t="shared" si="28"/>
        <v>#VALUE!</v>
      </c>
      <c r="P85" s="22" t="e">
        <f>IF($I$6="UL",VLOOKUP(O85,'3-SNR-Chan SE vs Range'!$Y$9:$Z$23,2),VLOOKUP(O85,$AH$9:$AI$23,2))</f>
        <v>#VALUE!</v>
      </c>
      <c r="Q85" s="288" t="e">
        <f>SUM(P85:P$100)/$A85/((3*3^0.5/2)*N85^2)</f>
        <v>#VALUE!</v>
      </c>
      <c r="R85" s="201" t="e">
        <f t="shared" si="20"/>
        <v>#VALUE!</v>
      </c>
      <c r="S85" s="99" t="e">
        <f t="shared" si="21"/>
        <v>#VALUE!</v>
      </c>
    </row>
    <row r="86" spans="1:19">
      <c r="A86">
        <f t="shared" si="22"/>
        <v>15</v>
      </c>
      <c r="B86" s="22" t="e">
        <f t="shared" si="23"/>
        <v>#VALUE!</v>
      </c>
      <c r="C86" s="22" t="e">
        <f t="shared" si="24"/>
        <v>#VALUE!</v>
      </c>
      <c r="D86" s="22" t="e">
        <f>IF($I$6="UL",VLOOKUP(C86,'3-SNR-Chan SE vs Range'!$Y$9:$Z$23,2),VLOOKUP(C86,$AH$9:$AI$23,2))</f>
        <v>#VALUE!</v>
      </c>
      <c r="E86" s="288" t="e">
        <f>SUM(D86:D$100)/$A86/((3*3^0.5/2)*B86^2)</f>
        <v>#VALUE!</v>
      </c>
      <c r="F86" s="201" t="e">
        <f t="shared" si="16"/>
        <v>#VALUE!</v>
      </c>
      <c r="G86" s="99" t="e">
        <f t="shared" si="17"/>
        <v>#VALUE!</v>
      </c>
      <c r="H86" s="22" t="e">
        <f t="shared" si="25"/>
        <v>#VALUE!</v>
      </c>
      <c r="I86" s="22" t="e">
        <f t="shared" si="26"/>
        <v>#VALUE!</v>
      </c>
      <c r="J86" s="22" t="e">
        <f>IF($I$6="UL",VLOOKUP(I86,'3-SNR-Chan SE vs Range'!$Y$9:$Z$23,2),VLOOKUP(I86,$AH$9:$AI$23,2))</f>
        <v>#VALUE!</v>
      </c>
      <c r="K86" s="288" t="e">
        <f>SUM(J86:J$100)/$A86/((3*3^0.5/2)*H86^2)</f>
        <v>#VALUE!</v>
      </c>
      <c r="L86" s="201" t="e">
        <f t="shared" si="18"/>
        <v>#VALUE!</v>
      </c>
      <c r="M86" s="99" t="e">
        <f t="shared" si="19"/>
        <v>#VALUE!</v>
      </c>
      <c r="N86" s="22" t="e">
        <f t="shared" si="27"/>
        <v>#VALUE!</v>
      </c>
      <c r="O86" s="22" t="e">
        <f t="shared" si="28"/>
        <v>#VALUE!</v>
      </c>
      <c r="P86" s="22" t="e">
        <f>IF($I$6="UL",VLOOKUP(O86,'3-SNR-Chan SE vs Range'!$Y$9:$Z$23,2),VLOOKUP(O86,$AH$9:$AI$23,2))</f>
        <v>#VALUE!</v>
      </c>
      <c r="Q86" s="288" t="e">
        <f>SUM(P86:P$100)/$A86/((3*3^0.5/2)*N86^2)</f>
        <v>#VALUE!</v>
      </c>
      <c r="R86" s="201" t="e">
        <f t="shared" si="20"/>
        <v>#VALUE!</v>
      </c>
      <c r="S86" s="99" t="e">
        <f t="shared" si="21"/>
        <v>#VALUE!</v>
      </c>
    </row>
    <row r="87" spans="1:19">
      <c r="A87">
        <f t="shared" si="22"/>
        <v>14</v>
      </c>
      <c r="B87" s="22" t="e">
        <f t="shared" si="23"/>
        <v>#VALUE!</v>
      </c>
      <c r="C87" s="22" t="e">
        <f t="shared" si="24"/>
        <v>#VALUE!</v>
      </c>
      <c r="D87" s="22" t="e">
        <f>IF($I$6="UL",VLOOKUP(C87,'3-SNR-Chan SE vs Range'!$Y$9:$Z$23,2),VLOOKUP(C87,$AH$9:$AI$23,2))</f>
        <v>#VALUE!</v>
      </c>
      <c r="E87" s="288" t="e">
        <f>SUM(D87:D$100)/$A87/((3*3^0.5/2)*B87^2)</f>
        <v>#VALUE!</v>
      </c>
      <c r="F87" s="201" t="e">
        <f t="shared" si="16"/>
        <v>#VALUE!</v>
      </c>
      <c r="G87" s="99" t="e">
        <f t="shared" si="17"/>
        <v>#VALUE!</v>
      </c>
      <c r="H87" s="22" t="e">
        <f t="shared" si="25"/>
        <v>#VALUE!</v>
      </c>
      <c r="I87" s="22" t="e">
        <f t="shared" si="26"/>
        <v>#VALUE!</v>
      </c>
      <c r="J87" s="22" t="e">
        <f>IF($I$6="UL",VLOOKUP(I87,'3-SNR-Chan SE vs Range'!$Y$9:$Z$23,2),VLOOKUP(I87,$AH$9:$AI$23,2))</f>
        <v>#VALUE!</v>
      </c>
      <c r="K87" s="288" t="e">
        <f>SUM(J87:J$100)/$A87/((3*3^0.5/2)*H87^2)</f>
        <v>#VALUE!</v>
      </c>
      <c r="L87" s="201" t="e">
        <f t="shared" si="18"/>
        <v>#VALUE!</v>
      </c>
      <c r="M87" s="99" t="e">
        <f t="shared" si="19"/>
        <v>#VALUE!</v>
      </c>
      <c r="N87" s="22" t="e">
        <f t="shared" si="27"/>
        <v>#VALUE!</v>
      </c>
      <c r="O87" s="22" t="e">
        <f t="shared" si="28"/>
        <v>#VALUE!</v>
      </c>
      <c r="P87" s="22" t="e">
        <f>IF($I$6="UL",VLOOKUP(O87,'3-SNR-Chan SE vs Range'!$Y$9:$Z$23,2),VLOOKUP(O87,$AH$9:$AI$23,2))</f>
        <v>#VALUE!</v>
      </c>
      <c r="Q87" s="288" t="e">
        <f>SUM(P87:P$100)/$A87/((3*3^0.5/2)*N87^2)</f>
        <v>#VALUE!</v>
      </c>
      <c r="R87" s="201" t="e">
        <f t="shared" si="20"/>
        <v>#VALUE!</v>
      </c>
      <c r="S87" s="99" t="e">
        <f t="shared" si="21"/>
        <v>#VALUE!</v>
      </c>
    </row>
    <row r="88" spans="1:19">
      <c r="A88">
        <f t="shared" si="22"/>
        <v>13</v>
      </c>
      <c r="B88" s="22" t="e">
        <f t="shared" si="23"/>
        <v>#VALUE!</v>
      </c>
      <c r="C88" s="22" t="e">
        <f t="shared" si="24"/>
        <v>#VALUE!</v>
      </c>
      <c r="D88" s="22" t="e">
        <f>IF($I$6="UL",VLOOKUP(C88,'3-SNR-Chan SE vs Range'!$Y$9:$Z$23,2),VLOOKUP(C88,$AH$9:$AI$23,2))</f>
        <v>#VALUE!</v>
      </c>
      <c r="E88" s="288" t="e">
        <f>SUM(D88:D$100)/$A88/((3*3^0.5/2)*B88^2)</f>
        <v>#VALUE!</v>
      </c>
      <c r="F88" s="201" t="e">
        <f t="shared" si="16"/>
        <v>#VALUE!</v>
      </c>
      <c r="G88" s="99" t="e">
        <f t="shared" si="17"/>
        <v>#VALUE!</v>
      </c>
      <c r="H88" s="22" t="e">
        <f t="shared" si="25"/>
        <v>#VALUE!</v>
      </c>
      <c r="I88" s="22" t="e">
        <f t="shared" si="26"/>
        <v>#VALUE!</v>
      </c>
      <c r="J88" s="22" t="e">
        <f>IF($I$6="UL",VLOOKUP(I88,'3-SNR-Chan SE vs Range'!$Y$9:$Z$23,2),VLOOKUP(I88,$AH$9:$AI$23,2))</f>
        <v>#VALUE!</v>
      </c>
      <c r="K88" s="288" t="e">
        <f>SUM(J88:J$100)/$A88/((3*3^0.5/2)*H88^2)</f>
        <v>#VALUE!</v>
      </c>
      <c r="L88" s="201" t="e">
        <f t="shared" si="18"/>
        <v>#VALUE!</v>
      </c>
      <c r="M88" s="99" t="e">
        <f t="shared" si="19"/>
        <v>#VALUE!</v>
      </c>
      <c r="N88" s="22" t="e">
        <f t="shared" si="27"/>
        <v>#VALUE!</v>
      </c>
      <c r="O88" s="22" t="e">
        <f t="shared" si="28"/>
        <v>#VALUE!</v>
      </c>
      <c r="P88" s="22" t="e">
        <f>IF($I$6="UL",VLOOKUP(O88,'3-SNR-Chan SE vs Range'!$Y$9:$Z$23,2),VLOOKUP(O88,$AH$9:$AI$23,2))</f>
        <v>#VALUE!</v>
      </c>
      <c r="Q88" s="288" t="e">
        <f>SUM(P88:P$100)/$A88/((3*3^0.5/2)*N88^2)</f>
        <v>#VALUE!</v>
      </c>
      <c r="R88" s="201" t="e">
        <f t="shared" si="20"/>
        <v>#VALUE!</v>
      </c>
      <c r="S88" s="99" t="e">
        <f t="shared" si="21"/>
        <v>#VALUE!</v>
      </c>
    </row>
    <row r="89" spans="1:19">
      <c r="A89">
        <f t="shared" si="22"/>
        <v>12</v>
      </c>
      <c r="B89" s="22" t="e">
        <f t="shared" si="23"/>
        <v>#VALUE!</v>
      </c>
      <c r="C89" s="22" t="e">
        <f t="shared" si="24"/>
        <v>#VALUE!</v>
      </c>
      <c r="D89" s="22" t="e">
        <f>IF($I$6="UL",VLOOKUP(C89,'3-SNR-Chan SE vs Range'!$Y$9:$Z$23,2),VLOOKUP(C89,$AH$9:$AI$23,2))</f>
        <v>#VALUE!</v>
      </c>
      <c r="E89" s="288" t="e">
        <f>SUM(D89:D$100)/$A89/((3*3^0.5/2)*B89^2)</f>
        <v>#VALUE!</v>
      </c>
      <c r="F89" s="201" t="e">
        <f t="shared" si="16"/>
        <v>#VALUE!</v>
      </c>
      <c r="G89" s="99" t="e">
        <f t="shared" si="17"/>
        <v>#VALUE!</v>
      </c>
      <c r="H89" s="22" t="e">
        <f t="shared" si="25"/>
        <v>#VALUE!</v>
      </c>
      <c r="I89" s="22" t="e">
        <f t="shared" si="26"/>
        <v>#VALUE!</v>
      </c>
      <c r="J89" s="22" t="e">
        <f>IF($I$6="UL",VLOOKUP(I89,'3-SNR-Chan SE vs Range'!$Y$9:$Z$23,2),VLOOKUP(I89,$AH$9:$AI$23,2))</f>
        <v>#VALUE!</v>
      </c>
      <c r="K89" s="288" t="e">
        <f>SUM(J89:J$100)/$A89/((3*3^0.5/2)*H89^2)</f>
        <v>#VALUE!</v>
      </c>
      <c r="L89" s="201" t="e">
        <f t="shared" si="18"/>
        <v>#VALUE!</v>
      </c>
      <c r="M89" s="99" t="e">
        <f t="shared" si="19"/>
        <v>#VALUE!</v>
      </c>
      <c r="N89" s="22" t="e">
        <f t="shared" si="27"/>
        <v>#VALUE!</v>
      </c>
      <c r="O89" s="22" t="e">
        <f t="shared" si="28"/>
        <v>#VALUE!</v>
      </c>
      <c r="P89" s="22" t="e">
        <f>IF($I$6="UL",VLOOKUP(O89,'3-SNR-Chan SE vs Range'!$Y$9:$Z$23,2),VLOOKUP(O89,$AH$9:$AI$23,2))</f>
        <v>#VALUE!</v>
      </c>
      <c r="Q89" s="288" t="e">
        <f>SUM(P89:P$100)/$A89/((3*3^0.5/2)*N89^2)</f>
        <v>#VALUE!</v>
      </c>
      <c r="R89" s="201" t="e">
        <f t="shared" si="20"/>
        <v>#VALUE!</v>
      </c>
      <c r="S89" s="99" t="e">
        <f t="shared" si="21"/>
        <v>#VALUE!</v>
      </c>
    </row>
    <row r="90" spans="1:19">
      <c r="A90">
        <f t="shared" si="22"/>
        <v>11</v>
      </c>
      <c r="B90" s="22" t="e">
        <f t="shared" si="23"/>
        <v>#VALUE!</v>
      </c>
      <c r="C90" s="22" t="e">
        <f t="shared" si="24"/>
        <v>#VALUE!</v>
      </c>
      <c r="D90" s="22" t="e">
        <f>IF($I$6="UL",VLOOKUP(C90,'3-SNR-Chan SE vs Range'!$Y$9:$Z$23,2),VLOOKUP(C90,$AH$9:$AI$23,2))</f>
        <v>#VALUE!</v>
      </c>
      <c r="E90" s="288" t="e">
        <f>SUM(D90:D$100)/$A90/((3*3^0.5/2)*B90^2)</f>
        <v>#VALUE!</v>
      </c>
      <c r="F90" s="201" t="e">
        <f t="shared" si="16"/>
        <v>#VALUE!</v>
      </c>
      <c r="G90" s="99" t="e">
        <f t="shared" si="17"/>
        <v>#VALUE!</v>
      </c>
      <c r="H90" s="22" t="e">
        <f t="shared" si="25"/>
        <v>#VALUE!</v>
      </c>
      <c r="I90" s="22" t="e">
        <f t="shared" si="26"/>
        <v>#VALUE!</v>
      </c>
      <c r="J90" s="22" t="e">
        <f>IF($I$6="UL",VLOOKUP(I90,'3-SNR-Chan SE vs Range'!$Y$9:$Z$23,2),VLOOKUP(I90,$AH$9:$AI$23,2))</f>
        <v>#VALUE!</v>
      </c>
      <c r="K90" s="288" t="e">
        <f>SUM(J90:J$100)/$A90/((3*3^0.5/2)*H90^2)</f>
        <v>#VALUE!</v>
      </c>
      <c r="L90" s="201" t="e">
        <f t="shared" si="18"/>
        <v>#VALUE!</v>
      </c>
      <c r="M90" s="99" t="e">
        <f t="shared" si="19"/>
        <v>#VALUE!</v>
      </c>
      <c r="N90" s="22" t="e">
        <f t="shared" si="27"/>
        <v>#VALUE!</v>
      </c>
      <c r="O90" s="22" t="e">
        <f t="shared" si="28"/>
        <v>#VALUE!</v>
      </c>
      <c r="P90" s="22" t="e">
        <f>IF($I$6="UL",VLOOKUP(O90,'3-SNR-Chan SE vs Range'!$Y$9:$Z$23,2),VLOOKUP(O90,$AH$9:$AI$23,2))</f>
        <v>#VALUE!</v>
      </c>
      <c r="Q90" s="288" t="e">
        <f>SUM(P90:P$100)/$A90/((3*3^0.5/2)*N90^2)</f>
        <v>#VALUE!</v>
      </c>
      <c r="R90" s="201" t="e">
        <f t="shared" si="20"/>
        <v>#VALUE!</v>
      </c>
      <c r="S90" s="99" t="e">
        <f t="shared" si="21"/>
        <v>#VALUE!</v>
      </c>
    </row>
    <row r="91" spans="1:19">
      <c r="A91">
        <f t="shared" si="22"/>
        <v>10</v>
      </c>
      <c r="B91" s="22" t="e">
        <f t="shared" si="23"/>
        <v>#VALUE!</v>
      </c>
      <c r="C91" s="22" t="e">
        <f t="shared" si="24"/>
        <v>#VALUE!</v>
      </c>
      <c r="D91" s="22" t="e">
        <f>IF($I$6="UL",VLOOKUP(C91,'3-SNR-Chan SE vs Range'!$Y$9:$Z$23,2),VLOOKUP(C91,$AH$9:$AI$23,2))</f>
        <v>#VALUE!</v>
      </c>
      <c r="E91" s="288" t="e">
        <f>SUM(D91:D$100)/$A91/((3*3^0.5/2)*B91^2)</f>
        <v>#VALUE!</v>
      </c>
      <c r="F91" s="201" t="e">
        <f t="shared" si="16"/>
        <v>#VALUE!</v>
      </c>
      <c r="G91" s="99" t="e">
        <f t="shared" si="17"/>
        <v>#VALUE!</v>
      </c>
      <c r="H91" s="22" t="e">
        <f t="shared" si="25"/>
        <v>#VALUE!</v>
      </c>
      <c r="I91" s="22" t="e">
        <f t="shared" si="26"/>
        <v>#VALUE!</v>
      </c>
      <c r="J91" s="22" t="e">
        <f>IF($I$6="UL",VLOOKUP(I91,'3-SNR-Chan SE vs Range'!$Y$9:$Z$23,2),VLOOKUP(I91,$AH$9:$AI$23,2))</f>
        <v>#VALUE!</v>
      </c>
      <c r="K91" s="288" t="e">
        <f>SUM(J91:J$100)/$A91/((3*3^0.5/2)*H91^2)</f>
        <v>#VALUE!</v>
      </c>
      <c r="L91" s="201" t="e">
        <f t="shared" si="18"/>
        <v>#VALUE!</v>
      </c>
      <c r="M91" s="99" t="e">
        <f t="shared" si="19"/>
        <v>#VALUE!</v>
      </c>
      <c r="N91" s="22" t="e">
        <f t="shared" si="27"/>
        <v>#VALUE!</v>
      </c>
      <c r="O91" s="22" t="e">
        <f t="shared" si="28"/>
        <v>#VALUE!</v>
      </c>
      <c r="P91" s="22" t="e">
        <f>IF($I$6="UL",VLOOKUP(O91,'3-SNR-Chan SE vs Range'!$Y$9:$Z$23,2),VLOOKUP(O91,$AH$9:$AI$23,2))</f>
        <v>#VALUE!</v>
      </c>
      <c r="Q91" s="288" t="e">
        <f>SUM(P91:P$100)/$A91/((3*3^0.5/2)*N91^2)</f>
        <v>#VALUE!</v>
      </c>
      <c r="R91" s="201" t="e">
        <f t="shared" si="20"/>
        <v>#VALUE!</v>
      </c>
      <c r="S91" s="99" t="e">
        <f t="shared" si="21"/>
        <v>#VALUE!</v>
      </c>
    </row>
    <row r="92" spans="1:19">
      <c r="A92">
        <f t="shared" si="22"/>
        <v>9</v>
      </c>
      <c r="B92" s="22" t="e">
        <f t="shared" si="23"/>
        <v>#VALUE!</v>
      </c>
      <c r="C92" s="22" t="e">
        <f t="shared" si="24"/>
        <v>#VALUE!</v>
      </c>
      <c r="D92" s="22" t="e">
        <f>IF($I$6="UL",VLOOKUP(C92,'3-SNR-Chan SE vs Range'!$Y$9:$Z$23,2),VLOOKUP(C92,$AH$9:$AI$23,2))</f>
        <v>#VALUE!</v>
      </c>
      <c r="E92" s="288" t="e">
        <f>SUM(D92:D$100)/$A92/((3*3^0.5/2)*B92^2)</f>
        <v>#VALUE!</v>
      </c>
      <c r="F92" s="201" t="e">
        <f t="shared" si="16"/>
        <v>#VALUE!</v>
      </c>
      <c r="G92" s="99" t="e">
        <f t="shared" si="17"/>
        <v>#VALUE!</v>
      </c>
      <c r="H92" s="22" t="e">
        <f t="shared" si="25"/>
        <v>#VALUE!</v>
      </c>
      <c r="I92" s="22" t="e">
        <f t="shared" si="26"/>
        <v>#VALUE!</v>
      </c>
      <c r="J92" s="22" t="e">
        <f>IF($I$6="UL",VLOOKUP(I92,'3-SNR-Chan SE vs Range'!$Y$9:$Z$23,2),VLOOKUP(I92,$AH$9:$AI$23,2))</f>
        <v>#VALUE!</v>
      </c>
      <c r="K92" s="288" t="e">
        <f>SUM(J92:J$100)/$A92/((3*3^0.5/2)*H92^2)</f>
        <v>#VALUE!</v>
      </c>
      <c r="L92" s="201" t="e">
        <f t="shared" si="18"/>
        <v>#VALUE!</v>
      </c>
      <c r="M92" s="99" t="e">
        <f t="shared" si="19"/>
        <v>#VALUE!</v>
      </c>
      <c r="N92" s="22" t="e">
        <f t="shared" si="27"/>
        <v>#VALUE!</v>
      </c>
      <c r="O92" s="22" t="e">
        <f t="shared" si="28"/>
        <v>#VALUE!</v>
      </c>
      <c r="P92" s="22" t="e">
        <f>IF($I$6="UL",VLOOKUP(O92,'3-SNR-Chan SE vs Range'!$Y$9:$Z$23,2),VLOOKUP(O92,$AH$9:$AI$23,2))</f>
        <v>#VALUE!</v>
      </c>
      <c r="Q92" s="288" t="e">
        <f>SUM(P92:P$100)/$A92/((3*3^0.5/2)*N92^2)</f>
        <v>#VALUE!</v>
      </c>
      <c r="R92" s="201" t="e">
        <f t="shared" si="20"/>
        <v>#VALUE!</v>
      </c>
      <c r="S92" s="99" t="e">
        <f t="shared" si="21"/>
        <v>#VALUE!</v>
      </c>
    </row>
    <row r="93" spans="1:19">
      <c r="A93">
        <f t="shared" si="22"/>
        <v>8</v>
      </c>
      <c r="B93" s="22" t="e">
        <f t="shared" si="23"/>
        <v>#VALUE!</v>
      </c>
      <c r="C93" s="22" t="e">
        <f t="shared" si="24"/>
        <v>#VALUE!</v>
      </c>
      <c r="D93" s="22" t="e">
        <f>IF($I$6="UL",VLOOKUP(C93,'3-SNR-Chan SE vs Range'!$Y$9:$Z$23,2),VLOOKUP(C93,$AH$9:$AI$23,2))</f>
        <v>#VALUE!</v>
      </c>
      <c r="E93" s="288" t="e">
        <f>SUM(D93:D$100)/$A93/((3*3^0.5/2)*B93^2)</f>
        <v>#VALUE!</v>
      </c>
      <c r="F93" s="201" t="e">
        <f t="shared" si="16"/>
        <v>#VALUE!</v>
      </c>
      <c r="G93" s="99" t="e">
        <f t="shared" si="17"/>
        <v>#VALUE!</v>
      </c>
      <c r="H93" s="22" t="e">
        <f t="shared" si="25"/>
        <v>#VALUE!</v>
      </c>
      <c r="I93" s="22" t="e">
        <f t="shared" si="26"/>
        <v>#VALUE!</v>
      </c>
      <c r="J93" s="22" t="e">
        <f>IF($I$6="UL",VLOOKUP(I93,'3-SNR-Chan SE vs Range'!$Y$9:$Z$23,2),VLOOKUP(I93,$AH$9:$AI$23,2))</f>
        <v>#VALUE!</v>
      </c>
      <c r="K93" s="288" t="e">
        <f>SUM(J93:J$100)/$A93/((3*3^0.5/2)*H93^2)</f>
        <v>#VALUE!</v>
      </c>
      <c r="L93" s="201" t="e">
        <f t="shared" si="18"/>
        <v>#VALUE!</v>
      </c>
      <c r="M93" s="99" t="e">
        <f t="shared" si="19"/>
        <v>#VALUE!</v>
      </c>
      <c r="N93" s="22" t="e">
        <f t="shared" si="27"/>
        <v>#VALUE!</v>
      </c>
      <c r="O93" s="22" t="e">
        <f t="shared" si="28"/>
        <v>#VALUE!</v>
      </c>
      <c r="P93" s="22" t="e">
        <f>IF($I$6="UL",VLOOKUP(O93,'3-SNR-Chan SE vs Range'!$Y$9:$Z$23,2),VLOOKUP(O93,$AH$9:$AI$23,2))</f>
        <v>#VALUE!</v>
      </c>
      <c r="Q93" s="288" t="e">
        <f>SUM(P93:P$100)/$A93/((3*3^0.5/2)*N93^2)</f>
        <v>#VALUE!</v>
      </c>
      <c r="R93" s="201" t="e">
        <f t="shared" si="20"/>
        <v>#VALUE!</v>
      </c>
      <c r="S93" s="99" t="e">
        <f t="shared" si="21"/>
        <v>#VALUE!</v>
      </c>
    </row>
    <row r="94" spans="1:19">
      <c r="A94">
        <f t="shared" si="22"/>
        <v>7</v>
      </c>
      <c r="B94" s="22" t="e">
        <f t="shared" si="23"/>
        <v>#VALUE!</v>
      </c>
      <c r="C94" s="22" t="e">
        <f t="shared" si="24"/>
        <v>#VALUE!</v>
      </c>
      <c r="D94" s="22" t="e">
        <f>IF($I$6="UL",VLOOKUP(C94,'3-SNR-Chan SE vs Range'!$Y$9:$Z$23,2),VLOOKUP(C94,$AH$9:$AI$23,2))</f>
        <v>#VALUE!</v>
      </c>
      <c r="E94" s="288" t="e">
        <f>SUM(D94:D$100)/$A94/((3*3^0.5/2)*B94^2)</f>
        <v>#VALUE!</v>
      </c>
      <c r="F94" s="201" t="e">
        <f t="shared" si="16"/>
        <v>#VALUE!</v>
      </c>
      <c r="G94" s="99" t="e">
        <f t="shared" si="17"/>
        <v>#VALUE!</v>
      </c>
      <c r="H94" s="22" t="e">
        <f t="shared" si="25"/>
        <v>#VALUE!</v>
      </c>
      <c r="I94" s="22" t="e">
        <f t="shared" si="26"/>
        <v>#VALUE!</v>
      </c>
      <c r="J94" s="22" t="e">
        <f>IF($I$6="UL",VLOOKUP(I94,'3-SNR-Chan SE vs Range'!$Y$9:$Z$23,2),VLOOKUP(I94,$AH$9:$AI$23,2))</f>
        <v>#VALUE!</v>
      </c>
      <c r="K94" s="288" t="e">
        <f>SUM(J94:J$100)/$A94/((3*3^0.5/2)*H94^2)</f>
        <v>#VALUE!</v>
      </c>
      <c r="L94" s="201" t="e">
        <f t="shared" si="18"/>
        <v>#VALUE!</v>
      </c>
      <c r="M94" s="99" t="e">
        <f t="shared" si="19"/>
        <v>#VALUE!</v>
      </c>
      <c r="N94" s="22" t="e">
        <f t="shared" si="27"/>
        <v>#VALUE!</v>
      </c>
      <c r="O94" s="22" t="e">
        <f t="shared" si="28"/>
        <v>#VALUE!</v>
      </c>
      <c r="P94" s="22" t="e">
        <f>IF($I$6="UL",VLOOKUP(O94,'3-SNR-Chan SE vs Range'!$Y$9:$Z$23,2),VLOOKUP(O94,$AH$9:$AI$23,2))</f>
        <v>#VALUE!</v>
      </c>
      <c r="Q94" s="288" t="e">
        <f>SUM(P94:P$100)/$A94/((3*3^0.5/2)*N94^2)</f>
        <v>#VALUE!</v>
      </c>
      <c r="R94" s="201" t="e">
        <f t="shared" si="20"/>
        <v>#VALUE!</v>
      </c>
      <c r="S94" s="99" t="e">
        <f t="shared" si="21"/>
        <v>#VALUE!</v>
      </c>
    </row>
    <row r="95" spans="1:19">
      <c r="A95">
        <f t="shared" si="22"/>
        <v>6</v>
      </c>
      <c r="B95" s="22" t="e">
        <f t="shared" si="23"/>
        <v>#VALUE!</v>
      </c>
      <c r="C95" s="22" t="e">
        <f t="shared" si="24"/>
        <v>#VALUE!</v>
      </c>
      <c r="D95" s="22" t="e">
        <f>IF($I$6="UL",VLOOKUP(C95,'3-SNR-Chan SE vs Range'!$Y$9:$Z$23,2),VLOOKUP(C95,$AH$9:$AI$23,2))</f>
        <v>#VALUE!</v>
      </c>
      <c r="E95" s="288" t="e">
        <f>SUM(D95:D$100)/$A95/((3*3^0.5/2)*B95^2)</f>
        <v>#VALUE!</v>
      </c>
      <c r="F95" s="201" t="e">
        <f t="shared" si="16"/>
        <v>#VALUE!</v>
      </c>
      <c r="G95" s="99" t="e">
        <f t="shared" si="17"/>
        <v>#VALUE!</v>
      </c>
      <c r="H95" s="22" t="e">
        <f t="shared" si="25"/>
        <v>#VALUE!</v>
      </c>
      <c r="I95" s="22" t="e">
        <f t="shared" si="26"/>
        <v>#VALUE!</v>
      </c>
      <c r="J95" s="22" t="e">
        <f>IF($I$6="UL",VLOOKUP(I95,'3-SNR-Chan SE vs Range'!$Y$9:$Z$23,2),VLOOKUP(I95,$AH$9:$AI$23,2))</f>
        <v>#VALUE!</v>
      </c>
      <c r="K95" s="288" t="e">
        <f>SUM(J95:J$100)/$A95/((3*3^0.5/2)*H95^2)</f>
        <v>#VALUE!</v>
      </c>
      <c r="L95" s="201" t="e">
        <f t="shared" si="18"/>
        <v>#VALUE!</v>
      </c>
      <c r="M95" s="99" t="e">
        <f t="shared" si="19"/>
        <v>#VALUE!</v>
      </c>
      <c r="N95" s="22" t="e">
        <f t="shared" si="27"/>
        <v>#VALUE!</v>
      </c>
      <c r="O95" s="22" t="e">
        <f t="shared" si="28"/>
        <v>#VALUE!</v>
      </c>
      <c r="P95" s="22" t="e">
        <f>IF($I$6="UL",VLOOKUP(O95,'3-SNR-Chan SE vs Range'!$Y$9:$Z$23,2),VLOOKUP(O95,$AH$9:$AI$23,2))</f>
        <v>#VALUE!</v>
      </c>
      <c r="Q95" s="288" t="e">
        <f>SUM(P95:P$100)/$A95/((3*3^0.5/2)*N95^2)</f>
        <v>#VALUE!</v>
      </c>
      <c r="R95" s="201" t="e">
        <f t="shared" si="20"/>
        <v>#VALUE!</v>
      </c>
      <c r="S95" s="99" t="e">
        <f t="shared" si="21"/>
        <v>#VALUE!</v>
      </c>
    </row>
    <row r="96" spans="1:19">
      <c r="A96">
        <f t="shared" si="22"/>
        <v>5</v>
      </c>
      <c r="B96" s="22" t="e">
        <f t="shared" si="23"/>
        <v>#VALUE!</v>
      </c>
      <c r="C96" s="22" t="e">
        <f t="shared" si="24"/>
        <v>#VALUE!</v>
      </c>
      <c r="D96" s="22" t="e">
        <f>IF($I$6="UL",VLOOKUP(C96,'3-SNR-Chan SE vs Range'!$Y$9:$Z$23,2),VLOOKUP(C96,$AH$9:$AI$23,2))</f>
        <v>#VALUE!</v>
      </c>
      <c r="E96" s="288" t="e">
        <f>SUM(D96:D$100)/$A96/((3*3^0.5/2)*B96^2)</f>
        <v>#VALUE!</v>
      </c>
      <c r="F96" s="201" t="e">
        <f t="shared" si="16"/>
        <v>#VALUE!</v>
      </c>
      <c r="G96" s="99" t="e">
        <f t="shared" si="17"/>
        <v>#VALUE!</v>
      </c>
      <c r="H96" s="22" t="e">
        <f t="shared" si="25"/>
        <v>#VALUE!</v>
      </c>
      <c r="I96" s="22" t="e">
        <f t="shared" si="26"/>
        <v>#VALUE!</v>
      </c>
      <c r="J96" s="22" t="e">
        <f>IF($I$6="UL",VLOOKUP(I96,'3-SNR-Chan SE vs Range'!$Y$9:$Z$23,2),VLOOKUP(I96,$AH$9:$AI$23,2))</f>
        <v>#VALUE!</v>
      </c>
      <c r="K96" s="288" t="e">
        <f>SUM(J96:J$100)/$A96/((3*3^0.5/2)*H96^2)</f>
        <v>#VALUE!</v>
      </c>
      <c r="L96" s="201" t="e">
        <f t="shared" si="18"/>
        <v>#VALUE!</v>
      </c>
      <c r="M96" s="99" t="e">
        <f t="shared" si="19"/>
        <v>#VALUE!</v>
      </c>
      <c r="N96" s="22" t="e">
        <f t="shared" si="27"/>
        <v>#VALUE!</v>
      </c>
      <c r="O96" s="22" t="e">
        <f t="shared" si="28"/>
        <v>#VALUE!</v>
      </c>
      <c r="P96" s="22" t="e">
        <f>IF($I$6="UL",VLOOKUP(O96,'3-SNR-Chan SE vs Range'!$Y$9:$Z$23,2),VLOOKUP(O96,$AH$9:$AI$23,2))</f>
        <v>#VALUE!</v>
      </c>
      <c r="Q96" s="288" t="e">
        <f>SUM(P96:P$100)/$A96/((3*3^0.5/2)*N96^2)</f>
        <v>#VALUE!</v>
      </c>
      <c r="R96" s="201" t="e">
        <f t="shared" si="20"/>
        <v>#VALUE!</v>
      </c>
      <c r="S96" s="99" t="e">
        <f t="shared" si="21"/>
        <v>#VALUE!</v>
      </c>
    </row>
    <row r="97" spans="1:19">
      <c r="A97">
        <f t="shared" si="22"/>
        <v>4</v>
      </c>
      <c r="B97" s="22" t="e">
        <f t="shared" si="23"/>
        <v>#VALUE!</v>
      </c>
      <c r="C97" s="22" t="e">
        <f t="shared" si="24"/>
        <v>#VALUE!</v>
      </c>
      <c r="D97" s="22" t="e">
        <f>IF($I$6="UL",VLOOKUP(C97,'3-SNR-Chan SE vs Range'!$Y$9:$Z$23,2),VLOOKUP(C97,$AH$9:$AI$23,2))</f>
        <v>#VALUE!</v>
      </c>
      <c r="E97" s="288" t="e">
        <f>SUM(D97:D$100)/$A97/((3*3^0.5/2)*B97^2)</f>
        <v>#VALUE!</v>
      </c>
      <c r="F97" s="201" t="e">
        <f t="shared" si="16"/>
        <v>#VALUE!</v>
      </c>
      <c r="G97" s="99" t="e">
        <f t="shared" si="17"/>
        <v>#VALUE!</v>
      </c>
      <c r="H97" s="22" t="e">
        <f t="shared" si="25"/>
        <v>#VALUE!</v>
      </c>
      <c r="I97" s="22" t="e">
        <f t="shared" si="26"/>
        <v>#VALUE!</v>
      </c>
      <c r="J97" s="22" t="e">
        <f>IF($I$6="UL",VLOOKUP(I97,'3-SNR-Chan SE vs Range'!$Y$9:$Z$23,2),VLOOKUP(I97,$AH$9:$AI$23,2))</f>
        <v>#VALUE!</v>
      </c>
      <c r="K97" s="288" t="e">
        <f>SUM(J97:J$100)/$A97/((3*3^0.5/2)*H97^2)</f>
        <v>#VALUE!</v>
      </c>
      <c r="L97" s="201" t="e">
        <f t="shared" si="18"/>
        <v>#VALUE!</v>
      </c>
      <c r="M97" s="99" t="e">
        <f t="shared" si="19"/>
        <v>#VALUE!</v>
      </c>
      <c r="N97" s="22" t="e">
        <f t="shared" si="27"/>
        <v>#VALUE!</v>
      </c>
      <c r="O97" s="22" t="e">
        <f t="shared" si="28"/>
        <v>#VALUE!</v>
      </c>
      <c r="P97" s="22" t="e">
        <f>IF($I$6="UL",VLOOKUP(O97,'3-SNR-Chan SE vs Range'!$Y$9:$Z$23,2),VLOOKUP(O97,$AH$9:$AI$23,2))</f>
        <v>#VALUE!</v>
      </c>
      <c r="Q97" s="288" t="e">
        <f>SUM(P97:P$100)/$A97/((3*3^0.5/2)*N97^2)</f>
        <v>#VALUE!</v>
      </c>
      <c r="R97" s="201" t="e">
        <f t="shared" si="20"/>
        <v>#VALUE!</v>
      </c>
      <c r="S97" s="99" t="e">
        <f t="shared" si="21"/>
        <v>#VALUE!</v>
      </c>
    </row>
    <row r="98" spans="1:19">
      <c r="A98">
        <f t="shared" si="22"/>
        <v>3</v>
      </c>
      <c r="B98" s="22" t="e">
        <f t="shared" si="23"/>
        <v>#VALUE!</v>
      </c>
      <c r="C98" s="22" t="e">
        <f t="shared" si="24"/>
        <v>#VALUE!</v>
      </c>
      <c r="D98" s="22" t="e">
        <f>IF($I$6="UL",VLOOKUP(C98,'3-SNR-Chan SE vs Range'!$Y$9:$Z$23,2),VLOOKUP(C98,$AH$9:$AI$23,2))</f>
        <v>#VALUE!</v>
      </c>
      <c r="E98" s="288" t="e">
        <f>SUM(D98:D$100)/$A98/((3*3^0.5/2)*B98^2)</f>
        <v>#VALUE!</v>
      </c>
      <c r="F98" s="201" t="e">
        <f t="shared" si="16"/>
        <v>#VALUE!</v>
      </c>
      <c r="G98" s="99" t="e">
        <f t="shared" si="17"/>
        <v>#VALUE!</v>
      </c>
      <c r="H98" s="22" t="e">
        <f t="shared" si="25"/>
        <v>#VALUE!</v>
      </c>
      <c r="I98" s="22" t="e">
        <f t="shared" si="26"/>
        <v>#VALUE!</v>
      </c>
      <c r="J98" s="22" t="e">
        <f>IF($I$6="UL",VLOOKUP(I98,'3-SNR-Chan SE vs Range'!$Y$9:$Z$23,2),VLOOKUP(I98,$AH$9:$AI$23,2))</f>
        <v>#VALUE!</v>
      </c>
      <c r="K98" s="288" t="e">
        <f>SUM(J98:J$100)/$A98/((3*3^0.5/2)*H98^2)</f>
        <v>#VALUE!</v>
      </c>
      <c r="L98" s="201" t="e">
        <f t="shared" si="18"/>
        <v>#VALUE!</v>
      </c>
      <c r="M98" s="99" t="e">
        <f t="shared" si="19"/>
        <v>#VALUE!</v>
      </c>
      <c r="N98" s="22" t="e">
        <f t="shared" si="27"/>
        <v>#VALUE!</v>
      </c>
      <c r="O98" s="22" t="e">
        <f t="shared" si="28"/>
        <v>#VALUE!</v>
      </c>
      <c r="P98" s="22" t="e">
        <f>IF($I$6="UL",VLOOKUP(O98,'3-SNR-Chan SE vs Range'!$Y$9:$Z$23,2),VLOOKUP(O98,$AH$9:$AI$23,2))</f>
        <v>#VALUE!</v>
      </c>
      <c r="Q98" s="288" t="e">
        <f>SUM(P98:P$100)/$A98/((3*3^0.5/2)*N98^2)</f>
        <v>#VALUE!</v>
      </c>
      <c r="R98" s="201" t="e">
        <f t="shared" si="20"/>
        <v>#VALUE!</v>
      </c>
      <c r="S98" s="99" t="e">
        <f t="shared" si="21"/>
        <v>#VALUE!</v>
      </c>
    </row>
    <row r="99" spans="1:19">
      <c r="A99">
        <f t="shared" si="22"/>
        <v>2</v>
      </c>
      <c r="B99" s="22" t="e">
        <f t="shared" si="23"/>
        <v>#VALUE!</v>
      </c>
      <c r="C99" s="22" t="e">
        <f t="shared" si="24"/>
        <v>#VALUE!</v>
      </c>
      <c r="D99" s="22" t="e">
        <f>IF($I$6="UL",VLOOKUP(C99,'3-SNR-Chan SE vs Range'!$Y$9:$Z$23,2),VLOOKUP(C99,$AH$9:$AI$23,2))</f>
        <v>#VALUE!</v>
      </c>
      <c r="E99" s="288" t="e">
        <f>SUM(D99:D$100)/$A99/((3*3^0.5/2)*B99^2)</f>
        <v>#VALUE!</v>
      </c>
      <c r="F99" s="201" t="e">
        <f t="shared" si="16"/>
        <v>#VALUE!</v>
      </c>
      <c r="G99" s="99" t="e">
        <f t="shared" si="17"/>
        <v>#VALUE!</v>
      </c>
      <c r="H99" s="22" t="e">
        <f t="shared" si="25"/>
        <v>#VALUE!</v>
      </c>
      <c r="I99" s="22" t="e">
        <f t="shared" si="26"/>
        <v>#VALUE!</v>
      </c>
      <c r="J99" s="22" t="e">
        <f>IF($I$6="UL",VLOOKUP(I99,'3-SNR-Chan SE vs Range'!$Y$9:$Z$23,2),VLOOKUP(I99,$AH$9:$AI$23,2))</f>
        <v>#VALUE!</v>
      </c>
      <c r="K99" s="288" t="e">
        <f>SUM(J99:J$100)/$A99/((3*3^0.5/2)*H99^2)</f>
        <v>#VALUE!</v>
      </c>
      <c r="L99" s="201" t="e">
        <f t="shared" si="18"/>
        <v>#VALUE!</v>
      </c>
      <c r="M99" s="99" t="e">
        <f t="shared" si="19"/>
        <v>#VALUE!</v>
      </c>
      <c r="N99" s="22" t="e">
        <f t="shared" si="27"/>
        <v>#VALUE!</v>
      </c>
      <c r="O99" s="22" t="e">
        <f t="shared" si="28"/>
        <v>#VALUE!</v>
      </c>
      <c r="P99" s="22" t="e">
        <f>IF($I$6="UL",VLOOKUP(O99,'3-SNR-Chan SE vs Range'!$Y$9:$Z$23,2),VLOOKUP(O99,$AH$9:$AI$23,2))</f>
        <v>#VALUE!</v>
      </c>
      <c r="Q99" s="288" t="e">
        <f>SUM(P99:P$100)/$A99/((3*3^0.5/2)*N99^2)</f>
        <v>#VALUE!</v>
      </c>
      <c r="R99" s="201" t="e">
        <f t="shared" si="20"/>
        <v>#VALUE!</v>
      </c>
      <c r="S99" s="99" t="e">
        <f t="shared" si="21"/>
        <v>#VALUE!</v>
      </c>
    </row>
    <row r="100" spans="1:19">
      <c r="A100">
        <f t="shared" si="22"/>
        <v>1</v>
      </c>
      <c r="B100" s="22" t="e">
        <f t="shared" si="23"/>
        <v>#VALUE!</v>
      </c>
      <c r="C100" s="22" t="e">
        <f t="shared" si="24"/>
        <v>#VALUE!</v>
      </c>
      <c r="D100" s="22" t="e">
        <f>IF($I$6="UL",VLOOKUP(C100,'3-SNR-Chan SE vs Range'!$Y$9:$Z$23,2),VLOOKUP(C100,$AH$9:$AI$23,2))</f>
        <v>#VALUE!</v>
      </c>
      <c r="E100" s="288" t="e">
        <f>SUM(D100:D$100)/$A100/((3*3^0.5/2)*B100^2)</f>
        <v>#VALUE!</v>
      </c>
      <c r="F100" s="201" t="e">
        <f t="shared" si="16"/>
        <v>#VALUE!</v>
      </c>
      <c r="G100" s="99" t="e">
        <f t="shared" si="17"/>
        <v>#VALUE!</v>
      </c>
      <c r="H100" s="22" t="e">
        <f t="shared" si="25"/>
        <v>#VALUE!</v>
      </c>
      <c r="I100" s="22" t="e">
        <f t="shared" si="26"/>
        <v>#VALUE!</v>
      </c>
      <c r="J100" s="22" t="e">
        <f>IF($I$6="UL",VLOOKUP(I100,'3-SNR-Chan SE vs Range'!$Y$9:$Z$23,2),VLOOKUP(I100,$AH$9:$AI$23,2))</f>
        <v>#VALUE!</v>
      </c>
      <c r="K100" s="288" t="e">
        <f>SUM(J100:J$100)/$A100/((3*3^0.5/2)*H100^2)</f>
        <v>#VALUE!</v>
      </c>
      <c r="L100" s="201" t="e">
        <f t="shared" si="18"/>
        <v>#VALUE!</v>
      </c>
      <c r="M100" s="99" t="e">
        <f t="shared" si="19"/>
        <v>#VALUE!</v>
      </c>
      <c r="N100" s="22" t="e">
        <f t="shared" si="27"/>
        <v>#VALUE!</v>
      </c>
      <c r="O100" s="22" t="e">
        <f t="shared" si="28"/>
        <v>#VALUE!</v>
      </c>
      <c r="P100" s="22" t="e">
        <f>IF($I$6="UL",VLOOKUP(O100,'3-SNR-Chan SE vs Range'!$Y$9:$Z$23,2),VLOOKUP(O100,$AH$9:$AI$23,2))</f>
        <v>#VALUE!</v>
      </c>
      <c r="Q100" s="288" t="e">
        <f>SUM(P100:P$100)/$A100/((3*3^0.5/2)*N100^2)</f>
        <v>#VALUE!</v>
      </c>
      <c r="R100" s="201" t="e">
        <f t="shared" si="20"/>
        <v>#VALUE!</v>
      </c>
      <c r="S100" s="99" t="e">
        <f t="shared" si="21"/>
        <v>#VALUE!</v>
      </c>
    </row>
    <row r="101" spans="1:19">
      <c r="A101">
        <f t="shared" si="22"/>
        <v>0</v>
      </c>
      <c r="B101" s="15">
        <f>0.05</f>
        <v>0.05</v>
      </c>
      <c r="C101" s="22" t="e">
        <f t="shared" si="24"/>
        <v>#VALUE!</v>
      </c>
      <c r="D101" s="22" t="e">
        <f>IF($I$6="UL",VLOOKUP(C101,'3-SNR-Chan SE vs Range'!$Y$9:$Z$23,2),VLOOKUP(C101,$AH$9:$AI$23,2))</f>
        <v>#VALUE!</v>
      </c>
      <c r="E101" s="288"/>
      <c r="F101" s="201">
        <f>B101</f>
        <v>0.05</v>
      </c>
      <c r="G101" s="99" t="e">
        <f t="shared" si="17"/>
        <v>#VALUE!</v>
      </c>
      <c r="H101" s="15">
        <f>B101</f>
        <v>0.05</v>
      </c>
      <c r="I101" s="22" t="e">
        <f t="shared" si="26"/>
        <v>#VALUE!</v>
      </c>
      <c r="J101" s="22" t="e">
        <f>IF($I$6="UL",VLOOKUP(I101,'3-SNR-Chan SE vs Range'!$Y$9:$Z$23,2),VLOOKUP(I101,$AH$9:$AI$23,2))</f>
        <v>#VALUE!</v>
      </c>
      <c r="K101" s="201"/>
      <c r="L101" s="15">
        <f>F101</f>
        <v>0.05</v>
      </c>
      <c r="M101" s="99" t="e">
        <f t="shared" si="19"/>
        <v>#VALUE!</v>
      </c>
      <c r="N101" s="15">
        <f>H101</f>
        <v>0.05</v>
      </c>
      <c r="O101" s="22" t="e">
        <f t="shared" si="28"/>
        <v>#VALUE!</v>
      </c>
      <c r="P101" s="22" t="e">
        <f>IF($I$6="UL",VLOOKUP(O101,'3-SNR-Chan SE vs Range'!$Y$9:$Z$23,2),VLOOKUP(O101,$AH$9:$AI$23,2))</f>
        <v>#VALUE!</v>
      </c>
      <c r="Q101" s="201"/>
      <c r="R101" s="201">
        <f>N101</f>
        <v>0.05</v>
      </c>
      <c r="S101" s="99" t="e">
        <f t="shared" si="21"/>
        <v>#VALUE!</v>
      </c>
    </row>
    <row r="102" spans="1:19">
      <c r="B102" s="12"/>
      <c r="C102" s="12"/>
      <c r="D102" s="12"/>
      <c r="E102" s="12"/>
      <c r="F102" s="12"/>
      <c r="G102" s="132"/>
      <c r="H102" s="12"/>
      <c r="I102" s="12"/>
      <c r="J102" s="12"/>
      <c r="K102" s="12"/>
      <c r="L102" s="12"/>
      <c r="M102" s="132"/>
      <c r="N102" s="12"/>
      <c r="O102" s="12"/>
      <c r="P102" s="12"/>
      <c r="Q102" s="12"/>
      <c r="R102" s="12"/>
      <c r="S102" s="132"/>
    </row>
    <row r="104" spans="1:19" ht="30">
      <c r="A104" s="118" t="s">
        <v>72</v>
      </c>
      <c r="B104" s="3" t="s">
        <v>60</v>
      </c>
      <c r="C104" s="133" t="str">
        <f>B40</f>
        <v>n/a</v>
      </c>
      <c r="D104" s="128" t="s">
        <v>114</v>
      </c>
      <c r="E104" s="134"/>
      <c r="F104" s="134"/>
      <c r="G104" s="134"/>
      <c r="H104" s="3" t="s">
        <v>36</v>
      </c>
      <c r="I104" s="158" t="str">
        <f>D40</f>
        <v>n/a</v>
      </c>
      <c r="J104" s="128" t="s">
        <v>114</v>
      </c>
      <c r="K104" s="134"/>
      <c r="L104" s="134"/>
      <c r="M104" s="135"/>
    </row>
    <row r="105" spans="1:19" ht="60">
      <c r="B105" s="3" t="s">
        <v>95</v>
      </c>
      <c r="C105" s="3" t="s">
        <v>96</v>
      </c>
      <c r="D105" s="737" t="str">
        <f>IF($I$6="UL","UL SE (bps/Hz)","DL SE (bps/Hz)")</f>
        <v>UL SE (bps/Hz)</v>
      </c>
      <c r="E105" s="737" t="s">
        <v>577</v>
      </c>
      <c r="F105" s="286" t="s">
        <v>95</v>
      </c>
      <c r="G105" s="3" t="s">
        <v>97</v>
      </c>
      <c r="H105" s="3" t="s">
        <v>95</v>
      </c>
      <c r="I105" s="3" t="s">
        <v>96</v>
      </c>
      <c r="J105" s="737" t="str">
        <f>IF($I$6="UL","UL SE (bps/Hz)","DL SE (bps/Hz)")</f>
        <v>UL SE (bps/Hz)</v>
      </c>
      <c r="K105" s="737" t="s">
        <v>577</v>
      </c>
      <c r="L105" s="286" t="s">
        <v>95</v>
      </c>
      <c r="M105" s="3" t="s">
        <v>97</v>
      </c>
    </row>
    <row r="106" spans="1:19">
      <c r="A106">
        <v>25</v>
      </c>
      <c r="B106" s="22" t="str">
        <f>B15</f>
        <v>n/a</v>
      </c>
      <c r="C106" s="22">
        <f>B5</f>
        <v>5.7</v>
      </c>
      <c r="D106" s="22">
        <f>IF($I$6="UL",VLOOKUP(C106,'3-SNR-Chan SE vs Range'!$Y$9:$Z$23,2),VLOOKUP(C106,$AH$9:$AI$23,2))</f>
        <v>0.16666666666666666</v>
      </c>
      <c r="E106" s="288" t="e">
        <f>SUM(D106:D$130)/$A106/((3*3^0.5/2)*B106^2)</f>
        <v>#VALUE!</v>
      </c>
      <c r="F106" s="201" t="str">
        <f>B106</f>
        <v>n/a</v>
      </c>
      <c r="G106" s="99" t="e">
        <f>B106^2/B$106^2</f>
        <v>#VALUE!</v>
      </c>
      <c r="H106" s="241" t="str">
        <f>D15</f>
        <v>n/a</v>
      </c>
      <c r="I106" s="22">
        <f>B5</f>
        <v>5.7</v>
      </c>
      <c r="J106" s="22">
        <f>IF($I$6="UL",VLOOKUP(I106,'3-SNR-Chan SE vs Range'!$Y$9:$Z$23,2),VLOOKUP(I106,$AH$9:$AI$23,2))</f>
        <v>0.16666666666666666</v>
      </c>
      <c r="K106" s="288" t="e">
        <f>SUM(J106:J$130)/$A106/((3*3^0.5/2)*H106^2)</f>
        <v>#VALUE!</v>
      </c>
      <c r="L106" s="201" t="str">
        <f>H106</f>
        <v>n/a</v>
      </c>
      <c r="M106" s="99" t="e">
        <f>H106^2/H$106^2</f>
        <v>#VALUE!</v>
      </c>
    </row>
    <row r="107" spans="1:19">
      <c r="A107">
        <f>A106-1</f>
        <v>24</v>
      </c>
      <c r="B107" s="22" t="e">
        <f>(B106^2-(B$106^2-B$131^2)/25)^0.5</f>
        <v>#VALUE!</v>
      </c>
      <c r="C107" s="22" t="e">
        <f>C$106+C$104*LOG10(B$106/B107)</f>
        <v>#VALUE!</v>
      </c>
      <c r="D107" s="22" t="e">
        <f>IF($I$6="UL",VLOOKUP(C107,'3-SNR-Chan SE vs Range'!$Y$9:$Z$23,2),VLOOKUP(C107,$AH$9:$AI$23,2))</f>
        <v>#VALUE!</v>
      </c>
      <c r="E107" s="288" t="e">
        <f>SUM(D107:D$130)/$A107/((3*3^0.5/2)*B107^2)</f>
        <v>#VALUE!</v>
      </c>
      <c r="F107" s="201" t="e">
        <f t="shared" ref="F107:F131" si="29">B107</f>
        <v>#VALUE!</v>
      </c>
      <c r="G107" s="99" t="e">
        <f t="shared" ref="G107:G131" si="30">B107^2/B$106^2</f>
        <v>#VALUE!</v>
      </c>
      <c r="H107" s="22" t="e">
        <f>(H106^2-(H$106^2-H$131^2)/25)^0.5</f>
        <v>#VALUE!</v>
      </c>
      <c r="I107" s="22" t="e">
        <f>I$106+I$104*LOG10(H$106/H107)</f>
        <v>#VALUE!</v>
      </c>
      <c r="J107" s="22" t="e">
        <f>IF($I$6="UL",VLOOKUP(I107,'3-SNR-Chan SE vs Range'!$Y$9:$Z$23,2),VLOOKUP(I107,$AH$9:$AI$23,2))</f>
        <v>#VALUE!</v>
      </c>
      <c r="K107" s="288" t="e">
        <f>SUM(J107:J$130)/$A107/((3*3^0.5/2)*H107^2)</f>
        <v>#VALUE!</v>
      </c>
      <c r="L107" s="201" t="e">
        <f t="shared" ref="L107:L131" si="31">H107</f>
        <v>#VALUE!</v>
      </c>
      <c r="M107" s="99" t="e">
        <f t="shared" ref="M107:M131" si="32">H107^2/H$106^2</f>
        <v>#VALUE!</v>
      </c>
    </row>
    <row r="108" spans="1:19">
      <c r="A108">
        <f t="shared" ref="A108:A131" si="33">A107-1</f>
        <v>23</v>
      </c>
      <c r="B108" s="22" t="e">
        <f t="shared" ref="B108:B130" si="34">(B107^2-(B$106^2-B$131^2)/25)^0.5</f>
        <v>#VALUE!</v>
      </c>
      <c r="C108" s="22" t="e">
        <f t="shared" ref="C108:C131" si="35">C$106+C$104*LOG10(B$106/B108)</f>
        <v>#VALUE!</v>
      </c>
      <c r="D108" s="22" t="e">
        <f>IF($I$6="UL",VLOOKUP(C108,'3-SNR-Chan SE vs Range'!$Y$9:$Z$23,2),VLOOKUP(C108,$AH$9:$AI$23,2))</f>
        <v>#VALUE!</v>
      </c>
      <c r="E108" s="288" t="e">
        <f>SUM(D108:D$130)/$A108/((3*3^0.5/2)*B108^2)</f>
        <v>#VALUE!</v>
      </c>
      <c r="F108" s="201" t="e">
        <f t="shared" si="29"/>
        <v>#VALUE!</v>
      </c>
      <c r="G108" s="99" t="e">
        <f t="shared" si="30"/>
        <v>#VALUE!</v>
      </c>
      <c r="H108" s="22" t="e">
        <f t="shared" ref="H108:H130" si="36">(H107^2-(H$106^2-H$131^2)/25)^0.5</f>
        <v>#VALUE!</v>
      </c>
      <c r="I108" s="22" t="e">
        <f t="shared" ref="I108:I131" si="37">I$106+I$104*LOG10(H$106/H108)</f>
        <v>#VALUE!</v>
      </c>
      <c r="J108" s="22" t="e">
        <f>IF($I$6="UL",VLOOKUP(I108,'3-SNR-Chan SE vs Range'!$Y$9:$Z$23,2),VLOOKUP(I108,$AH$9:$AI$23,2))</f>
        <v>#VALUE!</v>
      </c>
      <c r="K108" s="288" t="e">
        <f>SUM(J108:J$130)/$A108/((3*3^0.5/2)*H108^2)</f>
        <v>#VALUE!</v>
      </c>
      <c r="L108" s="201" t="e">
        <f t="shared" si="31"/>
        <v>#VALUE!</v>
      </c>
      <c r="M108" s="99" t="e">
        <f t="shared" si="32"/>
        <v>#VALUE!</v>
      </c>
    </row>
    <row r="109" spans="1:19">
      <c r="A109">
        <f t="shared" si="33"/>
        <v>22</v>
      </c>
      <c r="B109" s="22" t="e">
        <f t="shared" si="34"/>
        <v>#VALUE!</v>
      </c>
      <c r="C109" s="22" t="e">
        <f t="shared" si="35"/>
        <v>#VALUE!</v>
      </c>
      <c r="D109" s="22" t="e">
        <f>IF($I$6="UL",VLOOKUP(C109,'3-SNR-Chan SE vs Range'!$Y$9:$Z$23,2),VLOOKUP(C109,$AH$9:$AI$23,2))</f>
        <v>#VALUE!</v>
      </c>
      <c r="E109" s="288" t="e">
        <f>SUM(D109:D$130)/$A109/((3*3^0.5/2)*B109^2)</f>
        <v>#VALUE!</v>
      </c>
      <c r="F109" s="201" t="e">
        <f t="shared" si="29"/>
        <v>#VALUE!</v>
      </c>
      <c r="G109" s="99" t="e">
        <f t="shared" si="30"/>
        <v>#VALUE!</v>
      </c>
      <c r="H109" s="22" t="e">
        <f t="shared" si="36"/>
        <v>#VALUE!</v>
      </c>
      <c r="I109" s="22" t="e">
        <f t="shared" si="37"/>
        <v>#VALUE!</v>
      </c>
      <c r="J109" s="22" t="e">
        <f>IF($I$6="UL",VLOOKUP(I109,'3-SNR-Chan SE vs Range'!$Y$9:$Z$23,2),VLOOKUP(I109,$AH$9:$AI$23,2))</f>
        <v>#VALUE!</v>
      </c>
      <c r="K109" s="288" t="e">
        <f>SUM(J109:J$130)/$A109/((3*3^0.5/2)*H109^2)</f>
        <v>#VALUE!</v>
      </c>
      <c r="L109" s="201" t="e">
        <f t="shared" si="31"/>
        <v>#VALUE!</v>
      </c>
      <c r="M109" s="99" t="e">
        <f t="shared" si="32"/>
        <v>#VALUE!</v>
      </c>
    </row>
    <row r="110" spans="1:19">
      <c r="A110">
        <f t="shared" si="33"/>
        <v>21</v>
      </c>
      <c r="B110" s="22" t="e">
        <f t="shared" si="34"/>
        <v>#VALUE!</v>
      </c>
      <c r="C110" s="22" t="e">
        <f t="shared" si="35"/>
        <v>#VALUE!</v>
      </c>
      <c r="D110" s="22" t="e">
        <f>IF($I$6="UL",VLOOKUP(C110,'3-SNR-Chan SE vs Range'!$Y$9:$Z$23,2),VLOOKUP(C110,$AH$9:$AI$23,2))</f>
        <v>#VALUE!</v>
      </c>
      <c r="E110" s="288" t="e">
        <f>SUM(D110:D$130)/$A110/((3*3^0.5/2)*B110^2)</f>
        <v>#VALUE!</v>
      </c>
      <c r="F110" s="201" t="e">
        <f t="shared" si="29"/>
        <v>#VALUE!</v>
      </c>
      <c r="G110" s="99" t="e">
        <f t="shared" si="30"/>
        <v>#VALUE!</v>
      </c>
      <c r="H110" s="22" t="e">
        <f t="shared" si="36"/>
        <v>#VALUE!</v>
      </c>
      <c r="I110" s="22" t="e">
        <f t="shared" si="37"/>
        <v>#VALUE!</v>
      </c>
      <c r="J110" s="22" t="e">
        <f>IF($I$6="UL",VLOOKUP(I110,'3-SNR-Chan SE vs Range'!$Y$9:$Z$23,2),VLOOKUP(I110,$AH$9:$AI$23,2))</f>
        <v>#VALUE!</v>
      </c>
      <c r="K110" s="288" t="e">
        <f>SUM(J110:J$130)/$A110/((3*3^0.5/2)*H110^2)</f>
        <v>#VALUE!</v>
      </c>
      <c r="L110" s="201" t="e">
        <f t="shared" si="31"/>
        <v>#VALUE!</v>
      </c>
      <c r="M110" s="99" t="e">
        <f t="shared" si="32"/>
        <v>#VALUE!</v>
      </c>
    </row>
    <row r="111" spans="1:19">
      <c r="A111">
        <f t="shared" si="33"/>
        <v>20</v>
      </c>
      <c r="B111" s="22" t="e">
        <f t="shared" si="34"/>
        <v>#VALUE!</v>
      </c>
      <c r="C111" s="22" t="e">
        <f t="shared" si="35"/>
        <v>#VALUE!</v>
      </c>
      <c r="D111" s="22" t="e">
        <f>IF($I$6="UL",VLOOKUP(C111,'3-SNR-Chan SE vs Range'!$Y$9:$Z$23,2),VLOOKUP(C111,$AH$9:$AI$23,2))</f>
        <v>#VALUE!</v>
      </c>
      <c r="E111" s="288" t="e">
        <f>SUM(D111:D$130)/$A111/((3*3^0.5/2)*B111^2)</f>
        <v>#VALUE!</v>
      </c>
      <c r="F111" s="201" t="e">
        <f t="shared" si="29"/>
        <v>#VALUE!</v>
      </c>
      <c r="G111" s="99" t="e">
        <f t="shared" si="30"/>
        <v>#VALUE!</v>
      </c>
      <c r="H111" s="22" t="e">
        <f t="shared" si="36"/>
        <v>#VALUE!</v>
      </c>
      <c r="I111" s="22" t="e">
        <f t="shared" si="37"/>
        <v>#VALUE!</v>
      </c>
      <c r="J111" s="22" t="e">
        <f>IF($I$6="UL",VLOOKUP(I111,'3-SNR-Chan SE vs Range'!$Y$9:$Z$23,2),VLOOKUP(I111,$AH$9:$AI$23,2))</f>
        <v>#VALUE!</v>
      </c>
      <c r="K111" s="288" t="e">
        <f>SUM(J111:J$130)/$A111/((3*3^0.5/2)*H111^2)</f>
        <v>#VALUE!</v>
      </c>
      <c r="L111" s="201" t="e">
        <f t="shared" si="31"/>
        <v>#VALUE!</v>
      </c>
      <c r="M111" s="99" t="e">
        <f t="shared" si="32"/>
        <v>#VALUE!</v>
      </c>
    </row>
    <row r="112" spans="1:19">
      <c r="A112">
        <f t="shared" si="33"/>
        <v>19</v>
      </c>
      <c r="B112" s="22" t="e">
        <f t="shared" si="34"/>
        <v>#VALUE!</v>
      </c>
      <c r="C112" s="22" t="e">
        <f t="shared" si="35"/>
        <v>#VALUE!</v>
      </c>
      <c r="D112" s="22" t="e">
        <f>IF($I$6="UL",VLOOKUP(C112,'3-SNR-Chan SE vs Range'!$Y$9:$Z$23,2),VLOOKUP(C112,$AH$9:$AI$23,2))</f>
        <v>#VALUE!</v>
      </c>
      <c r="E112" s="288" t="e">
        <f>SUM(D112:D$130)/$A112/((3*3^0.5/2)*B112^2)</f>
        <v>#VALUE!</v>
      </c>
      <c r="F112" s="201" t="e">
        <f t="shared" si="29"/>
        <v>#VALUE!</v>
      </c>
      <c r="G112" s="99" t="e">
        <f t="shared" si="30"/>
        <v>#VALUE!</v>
      </c>
      <c r="H112" s="22" t="e">
        <f t="shared" si="36"/>
        <v>#VALUE!</v>
      </c>
      <c r="I112" s="22" t="e">
        <f t="shared" si="37"/>
        <v>#VALUE!</v>
      </c>
      <c r="J112" s="22" t="e">
        <f>IF($I$6="UL",VLOOKUP(I112,'3-SNR-Chan SE vs Range'!$Y$9:$Z$23,2),VLOOKUP(I112,$AH$9:$AI$23,2))</f>
        <v>#VALUE!</v>
      </c>
      <c r="K112" s="288" t="e">
        <f>SUM(J112:J$130)/$A112/((3*3^0.5/2)*H112^2)</f>
        <v>#VALUE!</v>
      </c>
      <c r="L112" s="201" t="e">
        <f t="shared" si="31"/>
        <v>#VALUE!</v>
      </c>
      <c r="M112" s="99" t="e">
        <f t="shared" si="32"/>
        <v>#VALUE!</v>
      </c>
    </row>
    <row r="113" spans="1:13">
      <c r="A113">
        <f t="shared" si="33"/>
        <v>18</v>
      </c>
      <c r="B113" s="22" t="e">
        <f t="shared" si="34"/>
        <v>#VALUE!</v>
      </c>
      <c r="C113" s="22" t="e">
        <f t="shared" si="35"/>
        <v>#VALUE!</v>
      </c>
      <c r="D113" s="22" t="e">
        <f>IF($I$6="UL",VLOOKUP(C113,'3-SNR-Chan SE vs Range'!$Y$9:$Z$23,2),VLOOKUP(C113,$AH$9:$AI$23,2))</f>
        <v>#VALUE!</v>
      </c>
      <c r="E113" s="288" t="e">
        <f>SUM(D113:D$130)/$A113/((3*3^0.5/2)*B113^2)</f>
        <v>#VALUE!</v>
      </c>
      <c r="F113" s="201" t="e">
        <f t="shared" si="29"/>
        <v>#VALUE!</v>
      </c>
      <c r="G113" s="99" t="e">
        <f t="shared" si="30"/>
        <v>#VALUE!</v>
      </c>
      <c r="H113" s="22" t="e">
        <f t="shared" si="36"/>
        <v>#VALUE!</v>
      </c>
      <c r="I113" s="22" t="e">
        <f t="shared" si="37"/>
        <v>#VALUE!</v>
      </c>
      <c r="J113" s="22" t="e">
        <f>IF($I$6="UL",VLOOKUP(I113,'3-SNR-Chan SE vs Range'!$Y$9:$Z$23,2),VLOOKUP(I113,$AH$9:$AI$23,2))</f>
        <v>#VALUE!</v>
      </c>
      <c r="K113" s="288" t="e">
        <f>SUM(J113:J$130)/$A113/((3*3^0.5/2)*H113^2)</f>
        <v>#VALUE!</v>
      </c>
      <c r="L113" s="201" t="e">
        <f t="shared" si="31"/>
        <v>#VALUE!</v>
      </c>
      <c r="M113" s="99" t="e">
        <f t="shared" si="32"/>
        <v>#VALUE!</v>
      </c>
    </row>
    <row r="114" spans="1:13">
      <c r="A114">
        <f t="shared" si="33"/>
        <v>17</v>
      </c>
      <c r="B114" s="22" t="e">
        <f t="shared" si="34"/>
        <v>#VALUE!</v>
      </c>
      <c r="C114" s="22" t="e">
        <f t="shared" si="35"/>
        <v>#VALUE!</v>
      </c>
      <c r="D114" s="22" t="e">
        <f>IF($I$6="UL",VLOOKUP(C114,'3-SNR-Chan SE vs Range'!$Y$9:$Z$23,2),VLOOKUP(C114,$AH$9:$AI$23,2))</f>
        <v>#VALUE!</v>
      </c>
      <c r="E114" s="288" t="e">
        <f>SUM(D114:D$130)/$A114/((3*3^0.5/2)*B114^2)</f>
        <v>#VALUE!</v>
      </c>
      <c r="F114" s="201" t="e">
        <f t="shared" si="29"/>
        <v>#VALUE!</v>
      </c>
      <c r="G114" s="99" t="e">
        <f t="shared" si="30"/>
        <v>#VALUE!</v>
      </c>
      <c r="H114" s="22" t="e">
        <f t="shared" si="36"/>
        <v>#VALUE!</v>
      </c>
      <c r="I114" s="22" t="e">
        <f t="shared" si="37"/>
        <v>#VALUE!</v>
      </c>
      <c r="J114" s="22" t="e">
        <f>IF($I$6="UL",VLOOKUP(I114,'3-SNR-Chan SE vs Range'!$Y$9:$Z$23,2),VLOOKUP(I114,$AH$9:$AI$23,2))</f>
        <v>#VALUE!</v>
      </c>
      <c r="K114" s="288" t="e">
        <f>SUM(J114:J$130)/$A114/((3*3^0.5/2)*H114^2)</f>
        <v>#VALUE!</v>
      </c>
      <c r="L114" s="201" t="e">
        <f t="shared" si="31"/>
        <v>#VALUE!</v>
      </c>
      <c r="M114" s="99" t="e">
        <f t="shared" si="32"/>
        <v>#VALUE!</v>
      </c>
    </row>
    <row r="115" spans="1:13">
      <c r="A115">
        <f t="shared" si="33"/>
        <v>16</v>
      </c>
      <c r="B115" s="22" t="e">
        <f t="shared" si="34"/>
        <v>#VALUE!</v>
      </c>
      <c r="C115" s="22" t="e">
        <f t="shared" si="35"/>
        <v>#VALUE!</v>
      </c>
      <c r="D115" s="22" t="e">
        <f>IF($I$6="UL",VLOOKUP(C115,'3-SNR-Chan SE vs Range'!$Y$9:$Z$23,2),VLOOKUP(C115,$AH$9:$AI$23,2))</f>
        <v>#VALUE!</v>
      </c>
      <c r="E115" s="288" t="e">
        <f>SUM(D115:D$130)/$A115/((3*3^0.5/2)*B115^2)</f>
        <v>#VALUE!</v>
      </c>
      <c r="F115" s="201" t="e">
        <f t="shared" si="29"/>
        <v>#VALUE!</v>
      </c>
      <c r="G115" s="99" t="e">
        <f t="shared" si="30"/>
        <v>#VALUE!</v>
      </c>
      <c r="H115" s="22" t="e">
        <f t="shared" si="36"/>
        <v>#VALUE!</v>
      </c>
      <c r="I115" s="22" t="e">
        <f t="shared" si="37"/>
        <v>#VALUE!</v>
      </c>
      <c r="J115" s="22" t="e">
        <f>IF($I$6="UL",VLOOKUP(I115,'3-SNR-Chan SE vs Range'!$Y$9:$Z$23,2),VLOOKUP(I115,$AH$9:$AI$23,2))</f>
        <v>#VALUE!</v>
      </c>
      <c r="K115" s="288" t="e">
        <f>SUM(J115:J$130)/$A115/((3*3^0.5/2)*H115^2)</f>
        <v>#VALUE!</v>
      </c>
      <c r="L115" s="201" t="e">
        <f t="shared" si="31"/>
        <v>#VALUE!</v>
      </c>
      <c r="M115" s="99" t="e">
        <f t="shared" si="32"/>
        <v>#VALUE!</v>
      </c>
    </row>
    <row r="116" spans="1:13">
      <c r="A116">
        <f t="shared" si="33"/>
        <v>15</v>
      </c>
      <c r="B116" s="22" t="e">
        <f t="shared" si="34"/>
        <v>#VALUE!</v>
      </c>
      <c r="C116" s="22" t="e">
        <f t="shared" si="35"/>
        <v>#VALUE!</v>
      </c>
      <c r="D116" s="22" t="e">
        <f>IF($I$6="UL",VLOOKUP(C116,'3-SNR-Chan SE vs Range'!$Y$9:$Z$23,2),VLOOKUP(C116,$AH$9:$AI$23,2))</f>
        <v>#VALUE!</v>
      </c>
      <c r="E116" s="288" t="e">
        <f>SUM(D116:D$130)/$A116/((3*3^0.5/2)*B116^2)</f>
        <v>#VALUE!</v>
      </c>
      <c r="F116" s="201" t="e">
        <f t="shared" si="29"/>
        <v>#VALUE!</v>
      </c>
      <c r="G116" s="99" t="e">
        <f t="shared" si="30"/>
        <v>#VALUE!</v>
      </c>
      <c r="H116" s="22" t="e">
        <f t="shared" si="36"/>
        <v>#VALUE!</v>
      </c>
      <c r="I116" s="22" t="e">
        <f t="shared" si="37"/>
        <v>#VALUE!</v>
      </c>
      <c r="J116" s="22" t="e">
        <f>IF($I$6="UL",VLOOKUP(I116,'3-SNR-Chan SE vs Range'!$Y$9:$Z$23,2),VLOOKUP(I116,$AH$9:$AI$23,2))</f>
        <v>#VALUE!</v>
      </c>
      <c r="K116" s="288" t="e">
        <f>SUM(J116:J$130)/$A116/((3*3^0.5/2)*H116^2)</f>
        <v>#VALUE!</v>
      </c>
      <c r="L116" s="201" t="e">
        <f t="shared" si="31"/>
        <v>#VALUE!</v>
      </c>
      <c r="M116" s="99" t="e">
        <f t="shared" si="32"/>
        <v>#VALUE!</v>
      </c>
    </row>
    <row r="117" spans="1:13">
      <c r="A117">
        <f t="shared" si="33"/>
        <v>14</v>
      </c>
      <c r="B117" s="22" t="e">
        <f t="shared" si="34"/>
        <v>#VALUE!</v>
      </c>
      <c r="C117" s="22" t="e">
        <f t="shared" si="35"/>
        <v>#VALUE!</v>
      </c>
      <c r="D117" s="22" t="e">
        <f>IF($I$6="UL",VLOOKUP(C117,'3-SNR-Chan SE vs Range'!$Y$9:$Z$23,2),VLOOKUP(C117,$AH$9:$AI$23,2))</f>
        <v>#VALUE!</v>
      </c>
      <c r="E117" s="288" t="e">
        <f>SUM(D117:D$130)/$A117/((3*3^0.5/2)*B117^2)</f>
        <v>#VALUE!</v>
      </c>
      <c r="F117" s="201" t="e">
        <f t="shared" si="29"/>
        <v>#VALUE!</v>
      </c>
      <c r="G117" s="99" t="e">
        <f t="shared" si="30"/>
        <v>#VALUE!</v>
      </c>
      <c r="H117" s="22" t="e">
        <f t="shared" si="36"/>
        <v>#VALUE!</v>
      </c>
      <c r="I117" s="22" t="e">
        <f t="shared" si="37"/>
        <v>#VALUE!</v>
      </c>
      <c r="J117" s="22" t="e">
        <f>IF($I$6="UL",VLOOKUP(I117,'3-SNR-Chan SE vs Range'!$Y$9:$Z$23,2),VLOOKUP(I117,$AH$9:$AI$23,2))</f>
        <v>#VALUE!</v>
      </c>
      <c r="K117" s="288" t="e">
        <f>SUM(J117:J$130)/$A117/((3*3^0.5/2)*H117^2)</f>
        <v>#VALUE!</v>
      </c>
      <c r="L117" s="201" t="e">
        <f t="shared" si="31"/>
        <v>#VALUE!</v>
      </c>
      <c r="M117" s="99" t="e">
        <f t="shared" si="32"/>
        <v>#VALUE!</v>
      </c>
    </row>
    <row r="118" spans="1:13">
      <c r="A118">
        <f t="shared" si="33"/>
        <v>13</v>
      </c>
      <c r="B118" s="22" t="e">
        <f t="shared" si="34"/>
        <v>#VALUE!</v>
      </c>
      <c r="C118" s="22" t="e">
        <f t="shared" si="35"/>
        <v>#VALUE!</v>
      </c>
      <c r="D118" s="22" t="e">
        <f>IF($I$6="UL",VLOOKUP(C118,'3-SNR-Chan SE vs Range'!$Y$9:$Z$23,2),VLOOKUP(C118,$AH$9:$AI$23,2))</f>
        <v>#VALUE!</v>
      </c>
      <c r="E118" s="288" t="e">
        <f>SUM(D118:D$130)/$A118/((3*3^0.5/2)*B118^2)</f>
        <v>#VALUE!</v>
      </c>
      <c r="F118" s="201" t="e">
        <f t="shared" si="29"/>
        <v>#VALUE!</v>
      </c>
      <c r="G118" s="99" t="e">
        <f t="shared" si="30"/>
        <v>#VALUE!</v>
      </c>
      <c r="H118" s="22" t="e">
        <f t="shared" si="36"/>
        <v>#VALUE!</v>
      </c>
      <c r="I118" s="22" t="e">
        <f t="shared" si="37"/>
        <v>#VALUE!</v>
      </c>
      <c r="J118" s="22" t="e">
        <f>IF($I$6="UL",VLOOKUP(I118,'3-SNR-Chan SE vs Range'!$Y$9:$Z$23,2),VLOOKUP(I118,$AH$9:$AI$23,2))</f>
        <v>#VALUE!</v>
      </c>
      <c r="K118" s="288" t="e">
        <f>SUM(J118:J$130)/$A118/((3*3^0.5/2)*H118^2)</f>
        <v>#VALUE!</v>
      </c>
      <c r="L118" s="201" t="e">
        <f t="shared" si="31"/>
        <v>#VALUE!</v>
      </c>
      <c r="M118" s="99" t="e">
        <f t="shared" si="32"/>
        <v>#VALUE!</v>
      </c>
    </row>
    <row r="119" spans="1:13">
      <c r="A119">
        <f t="shared" si="33"/>
        <v>12</v>
      </c>
      <c r="B119" s="22" t="e">
        <f t="shared" si="34"/>
        <v>#VALUE!</v>
      </c>
      <c r="C119" s="22" t="e">
        <f t="shared" si="35"/>
        <v>#VALUE!</v>
      </c>
      <c r="D119" s="22" t="e">
        <f>IF($I$6="UL",VLOOKUP(C119,'3-SNR-Chan SE vs Range'!$Y$9:$Z$23,2),VLOOKUP(C119,$AH$9:$AI$23,2))</f>
        <v>#VALUE!</v>
      </c>
      <c r="E119" s="288" t="e">
        <f>SUM(D119:D$130)/$A119/((3*3^0.5/2)*B119^2)</f>
        <v>#VALUE!</v>
      </c>
      <c r="F119" s="201" t="e">
        <f t="shared" si="29"/>
        <v>#VALUE!</v>
      </c>
      <c r="G119" s="99" t="e">
        <f t="shared" si="30"/>
        <v>#VALUE!</v>
      </c>
      <c r="H119" s="22" t="e">
        <f t="shared" si="36"/>
        <v>#VALUE!</v>
      </c>
      <c r="I119" s="22" t="e">
        <f t="shared" si="37"/>
        <v>#VALUE!</v>
      </c>
      <c r="J119" s="22" t="e">
        <f>IF($I$6="UL",VLOOKUP(I119,'3-SNR-Chan SE vs Range'!$Y$9:$Z$23,2),VLOOKUP(I119,$AH$9:$AI$23,2))</f>
        <v>#VALUE!</v>
      </c>
      <c r="K119" s="288" t="e">
        <f>SUM(J119:J$130)/$A119/((3*3^0.5/2)*H119^2)</f>
        <v>#VALUE!</v>
      </c>
      <c r="L119" s="201" t="e">
        <f t="shared" si="31"/>
        <v>#VALUE!</v>
      </c>
      <c r="M119" s="99" t="e">
        <f t="shared" si="32"/>
        <v>#VALUE!</v>
      </c>
    </row>
    <row r="120" spans="1:13">
      <c r="A120">
        <f t="shared" si="33"/>
        <v>11</v>
      </c>
      <c r="B120" s="22" t="e">
        <f t="shared" si="34"/>
        <v>#VALUE!</v>
      </c>
      <c r="C120" s="22" t="e">
        <f t="shared" si="35"/>
        <v>#VALUE!</v>
      </c>
      <c r="D120" s="22" t="e">
        <f>IF($I$6="UL",VLOOKUP(C120,'3-SNR-Chan SE vs Range'!$Y$9:$Z$23,2),VLOOKUP(C120,$AH$9:$AI$23,2))</f>
        <v>#VALUE!</v>
      </c>
      <c r="E120" s="288" t="e">
        <f>SUM(D120:D$130)/$A120/((3*3^0.5/2)*B120^2)</f>
        <v>#VALUE!</v>
      </c>
      <c r="F120" s="201" t="e">
        <f t="shared" si="29"/>
        <v>#VALUE!</v>
      </c>
      <c r="G120" s="99" t="e">
        <f t="shared" si="30"/>
        <v>#VALUE!</v>
      </c>
      <c r="H120" s="22" t="e">
        <f t="shared" si="36"/>
        <v>#VALUE!</v>
      </c>
      <c r="I120" s="22" t="e">
        <f t="shared" si="37"/>
        <v>#VALUE!</v>
      </c>
      <c r="J120" s="22" t="e">
        <f>IF($I$6="UL",VLOOKUP(I120,'3-SNR-Chan SE vs Range'!$Y$9:$Z$23,2),VLOOKUP(I120,$AH$9:$AI$23,2))</f>
        <v>#VALUE!</v>
      </c>
      <c r="K120" s="288" t="e">
        <f>SUM(J120:J$130)/$A120/((3*3^0.5/2)*H120^2)</f>
        <v>#VALUE!</v>
      </c>
      <c r="L120" s="201" t="e">
        <f t="shared" si="31"/>
        <v>#VALUE!</v>
      </c>
      <c r="M120" s="99" t="e">
        <f t="shared" si="32"/>
        <v>#VALUE!</v>
      </c>
    </row>
    <row r="121" spans="1:13">
      <c r="A121">
        <f t="shared" si="33"/>
        <v>10</v>
      </c>
      <c r="B121" s="22" t="e">
        <f t="shared" si="34"/>
        <v>#VALUE!</v>
      </c>
      <c r="C121" s="22" t="e">
        <f t="shared" si="35"/>
        <v>#VALUE!</v>
      </c>
      <c r="D121" s="22" t="e">
        <f>IF($I$6="UL",VLOOKUP(C121,'3-SNR-Chan SE vs Range'!$Y$9:$Z$23,2),VLOOKUP(C121,$AH$9:$AI$23,2))</f>
        <v>#VALUE!</v>
      </c>
      <c r="E121" s="288" t="e">
        <f>SUM(D121:D$130)/$A121/((3*3^0.5/2)*B121^2)</f>
        <v>#VALUE!</v>
      </c>
      <c r="F121" s="201" t="e">
        <f t="shared" si="29"/>
        <v>#VALUE!</v>
      </c>
      <c r="G121" s="99" t="e">
        <f t="shared" si="30"/>
        <v>#VALUE!</v>
      </c>
      <c r="H121" s="22" t="e">
        <f t="shared" si="36"/>
        <v>#VALUE!</v>
      </c>
      <c r="I121" s="22" t="e">
        <f t="shared" si="37"/>
        <v>#VALUE!</v>
      </c>
      <c r="J121" s="22" t="e">
        <f>IF($I$6="UL",VLOOKUP(I121,'3-SNR-Chan SE vs Range'!$Y$9:$Z$23,2),VLOOKUP(I121,$AH$9:$AI$23,2))</f>
        <v>#VALUE!</v>
      </c>
      <c r="K121" s="288" t="e">
        <f>SUM(J121:J$130)/$A121/((3*3^0.5/2)*H121^2)</f>
        <v>#VALUE!</v>
      </c>
      <c r="L121" s="201" t="e">
        <f t="shared" si="31"/>
        <v>#VALUE!</v>
      </c>
      <c r="M121" s="99" t="e">
        <f t="shared" si="32"/>
        <v>#VALUE!</v>
      </c>
    </row>
    <row r="122" spans="1:13">
      <c r="A122">
        <f t="shared" si="33"/>
        <v>9</v>
      </c>
      <c r="B122" s="22" t="e">
        <f t="shared" si="34"/>
        <v>#VALUE!</v>
      </c>
      <c r="C122" s="22" t="e">
        <f t="shared" si="35"/>
        <v>#VALUE!</v>
      </c>
      <c r="D122" s="22" t="e">
        <f>IF($I$6="UL",VLOOKUP(C122,'3-SNR-Chan SE vs Range'!$Y$9:$Z$23,2),VLOOKUP(C122,$AH$9:$AI$23,2))</f>
        <v>#VALUE!</v>
      </c>
      <c r="E122" s="288" t="e">
        <f>SUM(D122:D$130)/$A122/((3*3^0.5/2)*B122^2)</f>
        <v>#VALUE!</v>
      </c>
      <c r="F122" s="201" t="e">
        <f t="shared" si="29"/>
        <v>#VALUE!</v>
      </c>
      <c r="G122" s="99" t="e">
        <f t="shared" si="30"/>
        <v>#VALUE!</v>
      </c>
      <c r="H122" s="22" t="e">
        <f t="shared" si="36"/>
        <v>#VALUE!</v>
      </c>
      <c r="I122" s="22" t="e">
        <f t="shared" si="37"/>
        <v>#VALUE!</v>
      </c>
      <c r="J122" s="22" t="e">
        <f>IF($I$6="UL",VLOOKUP(I122,'3-SNR-Chan SE vs Range'!$Y$9:$Z$23,2),VLOOKUP(I122,$AH$9:$AI$23,2))</f>
        <v>#VALUE!</v>
      </c>
      <c r="K122" s="288" t="e">
        <f>SUM(J122:J$130)/$A122/((3*3^0.5/2)*H122^2)</f>
        <v>#VALUE!</v>
      </c>
      <c r="L122" s="201" t="e">
        <f t="shared" si="31"/>
        <v>#VALUE!</v>
      </c>
      <c r="M122" s="99" t="e">
        <f t="shared" si="32"/>
        <v>#VALUE!</v>
      </c>
    </row>
    <row r="123" spans="1:13">
      <c r="A123">
        <f t="shared" si="33"/>
        <v>8</v>
      </c>
      <c r="B123" s="22" t="e">
        <f t="shared" si="34"/>
        <v>#VALUE!</v>
      </c>
      <c r="C123" s="22" t="e">
        <f t="shared" si="35"/>
        <v>#VALUE!</v>
      </c>
      <c r="D123" s="22" t="e">
        <f>IF($I$6="UL",VLOOKUP(C123,'3-SNR-Chan SE vs Range'!$Y$9:$Z$23,2),VLOOKUP(C123,$AH$9:$AI$23,2))</f>
        <v>#VALUE!</v>
      </c>
      <c r="E123" s="288" t="e">
        <f>SUM(D123:D$130)/$A123/((3*3^0.5/2)*B123^2)</f>
        <v>#VALUE!</v>
      </c>
      <c r="F123" s="201" t="e">
        <f t="shared" si="29"/>
        <v>#VALUE!</v>
      </c>
      <c r="G123" s="99" t="e">
        <f t="shared" si="30"/>
        <v>#VALUE!</v>
      </c>
      <c r="H123" s="22" t="e">
        <f t="shared" si="36"/>
        <v>#VALUE!</v>
      </c>
      <c r="I123" s="22" t="e">
        <f t="shared" si="37"/>
        <v>#VALUE!</v>
      </c>
      <c r="J123" s="22" t="e">
        <f>IF($I$6="UL",VLOOKUP(I123,'3-SNR-Chan SE vs Range'!$Y$9:$Z$23,2),VLOOKUP(I123,$AH$9:$AI$23,2))</f>
        <v>#VALUE!</v>
      </c>
      <c r="K123" s="288" t="e">
        <f>SUM(J123:J$130)/$A123/((3*3^0.5/2)*H123^2)</f>
        <v>#VALUE!</v>
      </c>
      <c r="L123" s="201" t="e">
        <f t="shared" si="31"/>
        <v>#VALUE!</v>
      </c>
      <c r="M123" s="99" t="e">
        <f t="shared" si="32"/>
        <v>#VALUE!</v>
      </c>
    </row>
    <row r="124" spans="1:13">
      <c r="A124">
        <f t="shared" si="33"/>
        <v>7</v>
      </c>
      <c r="B124" s="22" t="e">
        <f t="shared" si="34"/>
        <v>#VALUE!</v>
      </c>
      <c r="C124" s="22" t="e">
        <f t="shared" si="35"/>
        <v>#VALUE!</v>
      </c>
      <c r="D124" s="22" t="e">
        <f>IF($I$6="UL",VLOOKUP(C124,'3-SNR-Chan SE vs Range'!$Y$9:$Z$23,2),VLOOKUP(C124,$AH$9:$AI$23,2))</f>
        <v>#VALUE!</v>
      </c>
      <c r="E124" s="288" t="e">
        <f>SUM(D124:D$130)/$A124/((3*3^0.5/2)*B124^2)</f>
        <v>#VALUE!</v>
      </c>
      <c r="F124" s="201" t="e">
        <f t="shared" si="29"/>
        <v>#VALUE!</v>
      </c>
      <c r="G124" s="99" t="e">
        <f t="shared" si="30"/>
        <v>#VALUE!</v>
      </c>
      <c r="H124" s="22" t="e">
        <f t="shared" si="36"/>
        <v>#VALUE!</v>
      </c>
      <c r="I124" s="22" t="e">
        <f t="shared" si="37"/>
        <v>#VALUE!</v>
      </c>
      <c r="J124" s="22" t="e">
        <f>IF($I$6="UL",VLOOKUP(I124,'3-SNR-Chan SE vs Range'!$Y$9:$Z$23,2),VLOOKUP(I124,$AH$9:$AI$23,2))</f>
        <v>#VALUE!</v>
      </c>
      <c r="K124" s="288" t="e">
        <f>SUM(J124:J$130)/$A124/((3*3^0.5/2)*H124^2)</f>
        <v>#VALUE!</v>
      </c>
      <c r="L124" s="201" t="e">
        <f t="shared" si="31"/>
        <v>#VALUE!</v>
      </c>
      <c r="M124" s="99" t="e">
        <f t="shared" si="32"/>
        <v>#VALUE!</v>
      </c>
    </row>
    <row r="125" spans="1:13">
      <c r="A125">
        <f t="shared" si="33"/>
        <v>6</v>
      </c>
      <c r="B125" s="22" t="e">
        <f t="shared" si="34"/>
        <v>#VALUE!</v>
      </c>
      <c r="C125" s="22" t="e">
        <f t="shared" si="35"/>
        <v>#VALUE!</v>
      </c>
      <c r="D125" s="22" t="e">
        <f>IF($I$6="UL",VLOOKUP(C125,'3-SNR-Chan SE vs Range'!$Y$9:$Z$23,2),VLOOKUP(C125,$AH$9:$AI$23,2))</f>
        <v>#VALUE!</v>
      </c>
      <c r="E125" s="288" t="e">
        <f>SUM(D125:D$130)/$A125/((3*3^0.5/2)*B125^2)</f>
        <v>#VALUE!</v>
      </c>
      <c r="F125" s="201" t="e">
        <f t="shared" si="29"/>
        <v>#VALUE!</v>
      </c>
      <c r="G125" s="99" t="e">
        <f t="shared" si="30"/>
        <v>#VALUE!</v>
      </c>
      <c r="H125" s="22" t="e">
        <f t="shared" si="36"/>
        <v>#VALUE!</v>
      </c>
      <c r="I125" s="22" t="e">
        <f t="shared" si="37"/>
        <v>#VALUE!</v>
      </c>
      <c r="J125" s="22" t="e">
        <f>IF($I$6="UL",VLOOKUP(I125,'3-SNR-Chan SE vs Range'!$Y$9:$Z$23,2),VLOOKUP(I125,$AH$9:$AI$23,2))</f>
        <v>#VALUE!</v>
      </c>
      <c r="K125" s="288" t="e">
        <f>SUM(J125:J$130)/$A125/((3*3^0.5/2)*H125^2)</f>
        <v>#VALUE!</v>
      </c>
      <c r="L125" s="201" t="e">
        <f t="shared" si="31"/>
        <v>#VALUE!</v>
      </c>
      <c r="M125" s="99" t="e">
        <f t="shared" si="32"/>
        <v>#VALUE!</v>
      </c>
    </row>
    <row r="126" spans="1:13">
      <c r="A126">
        <f t="shared" si="33"/>
        <v>5</v>
      </c>
      <c r="B126" s="22" t="e">
        <f t="shared" si="34"/>
        <v>#VALUE!</v>
      </c>
      <c r="C126" s="22" t="e">
        <f t="shared" si="35"/>
        <v>#VALUE!</v>
      </c>
      <c r="D126" s="22" t="e">
        <f>IF($I$6="UL",VLOOKUP(C126,'3-SNR-Chan SE vs Range'!$Y$9:$Z$23,2),VLOOKUP(C126,$AH$9:$AI$23,2))</f>
        <v>#VALUE!</v>
      </c>
      <c r="E126" s="288" t="e">
        <f>SUM(D126:D$130)/$A126/((3*3^0.5/2)*B126^2)</f>
        <v>#VALUE!</v>
      </c>
      <c r="F126" s="201" t="e">
        <f t="shared" si="29"/>
        <v>#VALUE!</v>
      </c>
      <c r="G126" s="99" t="e">
        <f t="shared" si="30"/>
        <v>#VALUE!</v>
      </c>
      <c r="H126" s="22" t="e">
        <f t="shared" si="36"/>
        <v>#VALUE!</v>
      </c>
      <c r="I126" s="22" t="e">
        <f t="shared" si="37"/>
        <v>#VALUE!</v>
      </c>
      <c r="J126" s="22" t="e">
        <f>IF($I$6="UL",VLOOKUP(I126,'3-SNR-Chan SE vs Range'!$Y$9:$Z$23,2),VLOOKUP(I126,$AH$9:$AI$23,2))</f>
        <v>#VALUE!</v>
      </c>
      <c r="K126" s="288" t="e">
        <f>SUM(J126:J$130)/$A126/((3*3^0.5/2)*H126^2)</f>
        <v>#VALUE!</v>
      </c>
      <c r="L126" s="201" t="e">
        <f t="shared" si="31"/>
        <v>#VALUE!</v>
      </c>
      <c r="M126" s="99" t="e">
        <f t="shared" si="32"/>
        <v>#VALUE!</v>
      </c>
    </row>
    <row r="127" spans="1:13">
      <c r="A127">
        <f t="shared" si="33"/>
        <v>4</v>
      </c>
      <c r="B127" s="22" t="e">
        <f t="shared" si="34"/>
        <v>#VALUE!</v>
      </c>
      <c r="C127" s="22" t="e">
        <f t="shared" si="35"/>
        <v>#VALUE!</v>
      </c>
      <c r="D127" s="22" t="e">
        <f>IF($I$6="UL",VLOOKUP(C127,'3-SNR-Chan SE vs Range'!$Y$9:$Z$23,2),VLOOKUP(C127,$AH$9:$AI$23,2))</f>
        <v>#VALUE!</v>
      </c>
      <c r="E127" s="288" t="e">
        <f>SUM(D127:D$130)/$A127/((3*3^0.5/2)*B127^2)</f>
        <v>#VALUE!</v>
      </c>
      <c r="F127" s="201" t="e">
        <f t="shared" si="29"/>
        <v>#VALUE!</v>
      </c>
      <c r="G127" s="99" t="e">
        <f t="shared" si="30"/>
        <v>#VALUE!</v>
      </c>
      <c r="H127" s="22" t="e">
        <f t="shared" si="36"/>
        <v>#VALUE!</v>
      </c>
      <c r="I127" s="22" t="e">
        <f t="shared" si="37"/>
        <v>#VALUE!</v>
      </c>
      <c r="J127" s="22" t="e">
        <f>IF($I$6="UL",VLOOKUP(I127,'3-SNR-Chan SE vs Range'!$Y$9:$Z$23,2),VLOOKUP(I127,$AH$9:$AI$23,2))</f>
        <v>#VALUE!</v>
      </c>
      <c r="K127" s="288" t="e">
        <f>SUM(J127:J$130)/$A127/((3*3^0.5/2)*H127^2)</f>
        <v>#VALUE!</v>
      </c>
      <c r="L127" s="201" t="e">
        <f t="shared" si="31"/>
        <v>#VALUE!</v>
      </c>
      <c r="M127" s="99" t="e">
        <f t="shared" si="32"/>
        <v>#VALUE!</v>
      </c>
    </row>
    <row r="128" spans="1:13">
      <c r="A128">
        <f t="shared" si="33"/>
        <v>3</v>
      </c>
      <c r="B128" s="22" t="e">
        <f t="shared" si="34"/>
        <v>#VALUE!</v>
      </c>
      <c r="C128" s="22" t="e">
        <f t="shared" si="35"/>
        <v>#VALUE!</v>
      </c>
      <c r="D128" s="22" t="e">
        <f>IF($I$6="UL",VLOOKUP(C128,'3-SNR-Chan SE vs Range'!$Y$9:$Z$23,2),VLOOKUP(C128,$AH$9:$AI$23,2))</f>
        <v>#VALUE!</v>
      </c>
      <c r="E128" s="288" t="e">
        <f>SUM(D128:D$130)/$A128/((3*3^0.5/2)*B128^2)</f>
        <v>#VALUE!</v>
      </c>
      <c r="F128" s="201" t="e">
        <f t="shared" si="29"/>
        <v>#VALUE!</v>
      </c>
      <c r="G128" s="99" t="e">
        <f t="shared" si="30"/>
        <v>#VALUE!</v>
      </c>
      <c r="H128" s="22" t="e">
        <f t="shared" si="36"/>
        <v>#VALUE!</v>
      </c>
      <c r="I128" s="22" t="e">
        <f t="shared" si="37"/>
        <v>#VALUE!</v>
      </c>
      <c r="J128" s="22" t="e">
        <f>IF($I$6="UL",VLOOKUP(I128,'3-SNR-Chan SE vs Range'!$Y$9:$Z$23,2),VLOOKUP(I128,$AH$9:$AI$23,2))</f>
        <v>#VALUE!</v>
      </c>
      <c r="K128" s="288" t="e">
        <f>SUM(J128:J$130)/$A128/((3*3^0.5/2)*H128^2)</f>
        <v>#VALUE!</v>
      </c>
      <c r="L128" s="201" t="e">
        <f t="shared" si="31"/>
        <v>#VALUE!</v>
      </c>
      <c r="M128" s="99" t="e">
        <f t="shared" si="32"/>
        <v>#VALUE!</v>
      </c>
    </row>
    <row r="129" spans="1:19">
      <c r="A129">
        <f t="shared" si="33"/>
        <v>2</v>
      </c>
      <c r="B129" s="22" t="e">
        <f t="shared" si="34"/>
        <v>#VALUE!</v>
      </c>
      <c r="C129" s="22" t="e">
        <f t="shared" si="35"/>
        <v>#VALUE!</v>
      </c>
      <c r="D129" s="22" t="e">
        <f>IF($I$6="UL",VLOOKUP(C129,'3-SNR-Chan SE vs Range'!$Y$9:$Z$23,2),VLOOKUP(C129,$AH$9:$AI$23,2))</f>
        <v>#VALUE!</v>
      </c>
      <c r="E129" s="288" t="e">
        <f>SUM(D129:D$130)/$A129/((3*3^0.5/2)*B129^2)</f>
        <v>#VALUE!</v>
      </c>
      <c r="F129" s="201" t="e">
        <f t="shared" si="29"/>
        <v>#VALUE!</v>
      </c>
      <c r="G129" s="99" t="e">
        <f t="shared" si="30"/>
        <v>#VALUE!</v>
      </c>
      <c r="H129" s="22" t="e">
        <f t="shared" si="36"/>
        <v>#VALUE!</v>
      </c>
      <c r="I129" s="22" t="e">
        <f t="shared" si="37"/>
        <v>#VALUE!</v>
      </c>
      <c r="J129" s="22" t="e">
        <f>IF($I$6="UL",VLOOKUP(I129,'3-SNR-Chan SE vs Range'!$Y$9:$Z$23,2),VLOOKUP(I129,$AH$9:$AI$23,2))</f>
        <v>#VALUE!</v>
      </c>
      <c r="K129" s="288" t="e">
        <f>SUM(J129:J$130)/$A129/((3*3^0.5/2)*H129^2)</f>
        <v>#VALUE!</v>
      </c>
      <c r="L129" s="201" t="e">
        <f t="shared" si="31"/>
        <v>#VALUE!</v>
      </c>
      <c r="M129" s="99" t="e">
        <f t="shared" si="32"/>
        <v>#VALUE!</v>
      </c>
    </row>
    <row r="130" spans="1:19">
      <c r="A130">
        <f t="shared" si="33"/>
        <v>1</v>
      </c>
      <c r="B130" s="22" t="e">
        <f t="shared" si="34"/>
        <v>#VALUE!</v>
      </c>
      <c r="C130" s="22" t="e">
        <f t="shared" si="35"/>
        <v>#VALUE!</v>
      </c>
      <c r="D130" s="22" t="e">
        <f>IF($I$6="UL",VLOOKUP(C130,'3-SNR-Chan SE vs Range'!$Y$9:$Z$23,2),VLOOKUP(C130,$AH$9:$AI$23,2))</f>
        <v>#VALUE!</v>
      </c>
      <c r="E130" s="288" t="e">
        <f>SUM(D130:D$130)/$A130/((3*3^0.5/2)*B130^2)</f>
        <v>#VALUE!</v>
      </c>
      <c r="F130" s="201" t="e">
        <f t="shared" si="29"/>
        <v>#VALUE!</v>
      </c>
      <c r="G130" s="99" t="e">
        <f t="shared" si="30"/>
        <v>#VALUE!</v>
      </c>
      <c r="H130" s="22" t="e">
        <f t="shared" si="36"/>
        <v>#VALUE!</v>
      </c>
      <c r="I130" s="22" t="e">
        <f t="shared" si="37"/>
        <v>#VALUE!</v>
      </c>
      <c r="J130" s="22" t="e">
        <f>IF($I$6="UL",VLOOKUP(I130,'3-SNR-Chan SE vs Range'!$Y$9:$Z$23,2),VLOOKUP(I130,$AH$9:$AI$23,2))</f>
        <v>#VALUE!</v>
      </c>
      <c r="K130" s="288" t="e">
        <f>SUM(J130:J$130)/$A130/((3*3^0.5/2)*H130^2)</f>
        <v>#VALUE!</v>
      </c>
      <c r="L130" s="201" t="e">
        <f t="shared" si="31"/>
        <v>#VALUE!</v>
      </c>
      <c r="M130" s="99" t="e">
        <f t="shared" si="32"/>
        <v>#VALUE!</v>
      </c>
    </row>
    <row r="131" spans="1:19">
      <c r="A131">
        <f t="shared" si="33"/>
        <v>0</v>
      </c>
      <c r="B131" s="15">
        <v>0.05</v>
      </c>
      <c r="C131" s="22" t="e">
        <f t="shared" si="35"/>
        <v>#VALUE!</v>
      </c>
      <c r="D131" s="22" t="e">
        <f>IF($I$6="UL",VLOOKUP(C131,'3-SNR-Chan SE vs Range'!$Y$9:$Z$23,2),VLOOKUP(C131,$AH$9:$AI$23,2))</f>
        <v>#VALUE!</v>
      </c>
      <c r="E131" s="22"/>
      <c r="F131" s="201">
        <f t="shared" si="29"/>
        <v>0.05</v>
      </c>
      <c r="G131" s="99" t="e">
        <f t="shared" si="30"/>
        <v>#VALUE!</v>
      </c>
      <c r="H131" s="15">
        <f>B131</f>
        <v>0.05</v>
      </c>
      <c r="I131" s="22" t="e">
        <f t="shared" si="37"/>
        <v>#VALUE!</v>
      </c>
      <c r="J131" s="22" t="e">
        <f>IF($I$6="UL",VLOOKUP(I131,'3-SNR-Chan SE vs Range'!$Y$9:$Z$23,2),VLOOKUP(I131,$AH$9:$AI$23,2))</f>
        <v>#VALUE!</v>
      </c>
      <c r="K131" s="22"/>
      <c r="L131" s="201">
        <f t="shared" si="31"/>
        <v>0.05</v>
      </c>
      <c r="M131" s="99" t="e">
        <f t="shared" si="32"/>
        <v>#VALUE!</v>
      </c>
    </row>
    <row r="134" spans="1:19" ht="30">
      <c r="A134" s="118" t="s">
        <v>58</v>
      </c>
      <c r="B134" s="3" t="s">
        <v>60</v>
      </c>
      <c r="C134" s="133" t="str">
        <f>B41</f>
        <v>n/a</v>
      </c>
      <c r="D134" s="128" t="s">
        <v>114</v>
      </c>
      <c r="E134" s="134"/>
      <c r="F134" s="134"/>
      <c r="G134" s="134"/>
      <c r="H134" s="63" t="s">
        <v>36</v>
      </c>
      <c r="I134" s="133" t="str">
        <f>D41</f>
        <v>n/a</v>
      </c>
      <c r="J134" s="128" t="s">
        <v>114</v>
      </c>
      <c r="K134" s="134"/>
      <c r="L134" s="134"/>
      <c r="M134" s="134"/>
      <c r="N134" s="63" t="s">
        <v>76</v>
      </c>
      <c r="O134" s="133" t="str">
        <f>F41</f>
        <v>n/a</v>
      </c>
      <c r="P134" s="128" t="s">
        <v>114</v>
      </c>
      <c r="Q134" s="134"/>
      <c r="R134" s="134"/>
      <c r="S134" s="135"/>
    </row>
    <row r="135" spans="1:19" ht="60">
      <c r="A135" s="127"/>
      <c r="B135" s="3" t="s">
        <v>95</v>
      </c>
      <c r="C135" s="3" t="s">
        <v>96</v>
      </c>
      <c r="D135" s="737" t="str">
        <f>IF($I$6="UL","UL SE (bps/Hz)","DL SE (bps/Hz)")</f>
        <v>UL SE (bps/Hz)</v>
      </c>
      <c r="E135" s="737" t="s">
        <v>577</v>
      </c>
      <c r="F135" s="286" t="s">
        <v>95</v>
      </c>
      <c r="G135" s="3" t="s">
        <v>97</v>
      </c>
      <c r="H135" s="3" t="s">
        <v>95</v>
      </c>
      <c r="I135" s="3" t="s">
        <v>96</v>
      </c>
      <c r="J135" s="737" t="str">
        <f>IF($I$6="UL","UL SE (bps/Hz)","DL SE (bps/Hz)")</f>
        <v>UL SE (bps/Hz)</v>
      </c>
      <c r="K135" s="737" t="s">
        <v>577</v>
      </c>
      <c r="L135" s="286" t="s">
        <v>95</v>
      </c>
      <c r="M135" s="3" t="s">
        <v>97</v>
      </c>
      <c r="N135" s="3" t="s">
        <v>95</v>
      </c>
      <c r="O135" s="3" t="s">
        <v>96</v>
      </c>
      <c r="P135" s="737" t="str">
        <f>IF($I$6="UL","UL SE (bps/Hz)","DL SE (bps/Hz)")</f>
        <v>UL SE (bps/Hz)</v>
      </c>
      <c r="Q135" s="737" t="s">
        <v>577</v>
      </c>
      <c r="R135" s="286" t="s">
        <v>95</v>
      </c>
      <c r="S135" s="3" t="s">
        <v>97</v>
      </c>
    </row>
    <row r="136" spans="1:19">
      <c r="A136">
        <v>25</v>
      </c>
      <c r="B136" s="22" t="str">
        <f>B16</f>
        <v>n/a</v>
      </c>
      <c r="C136" s="22">
        <f>B5</f>
        <v>5.7</v>
      </c>
      <c r="D136" s="22">
        <f>IF($I$6="UL",VLOOKUP(C136,'3-SNR-Chan SE vs Range'!$Y$9:$Z$23,2),VLOOKUP(C136,$AH$9:$AI$23,2))</f>
        <v>0.16666666666666666</v>
      </c>
      <c r="E136" s="288" t="e">
        <f>SUM(D136:D$160)/$A136/((3*3^0.5/2)*B136^2)</f>
        <v>#VALUE!</v>
      </c>
      <c r="F136" s="201" t="str">
        <f>B136</f>
        <v>n/a</v>
      </c>
      <c r="G136" s="99" t="e">
        <f>B136^2/B$136^2</f>
        <v>#VALUE!</v>
      </c>
      <c r="H136" s="22" t="str">
        <f>D16</f>
        <v>n/a</v>
      </c>
      <c r="I136" s="22">
        <f>B5</f>
        <v>5.7</v>
      </c>
      <c r="J136" s="22">
        <f>IF($I$6="UL",VLOOKUP(I136,'3-SNR-Chan SE vs Range'!$Y$9:$Z$23,2),VLOOKUP(I136,$AH$9:$AI$23,2))</f>
        <v>0.16666666666666666</v>
      </c>
      <c r="K136" s="288" t="e">
        <f>SUM(J136:J$160)/$A136/((3*3^0.5/2)*H136^2)</f>
        <v>#VALUE!</v>
      </c>
      <c r="L136" s="201" t="str">
        <f>H136</f>
        <v>n/a</v>
      </c>
      <c r="M136" s="99" t="e">
        <f>H136^2/H$136^2</f>
        <v>#VALUE!</v>
      </c>
      <c r="N136" s="22" t="str">
        <f>F16</f>
        <v>n/a</v>
      </c>
      <c r="O136" s="22">
        <f>B5</f>
        <v>5.7</v>
      </c>
      <c r="P136" s="22">
        <f>IF($I$6="UL",VLOOKUP(O136,'3-SNR-Chan SE vs Range'!$Y$9:$Z$23,2),VLOOKUP(O136,$AH$9:$AI$23,2))</f>
        <v>0.16666666666666666</v>
      </c>
      <c r="Q136" s="288" t="e">
        <f>SUM(P136:P$160)/$A136/((3*3^0.5/2)*N136^2)</f>
        <v>#VALUE!</v>
      </c>
      <c r="R136" s="201" t="str">
        <f>N136</f>
        <v>n/a</v>
      </c>
      <c r="S136" s="99" t="e">
        <f>N136^2/N$136^2</f>
        <v>#VALUE!</v>
      </c>
    </row>
    <row r="137" spans="1:19">
      <c r="A137">
        <f>A136-1</f>
        <v>24</v>
      </c>
      <c r="B137" s="22" t="e">
        <f>(B136^2-(B$136^2-B$161^2)/25)^0.5</f>
        <v>#VALUE!</v>
      </c>
      <c r="C137" s="22" t="e">
        <f>C$136+C$134*LOG10(B$136/B137)</f>
        <v>#VALUE!</v>
      </c>
      <c r="D137" s="22" t="e">
        <f>IF($I$6="UL",VLOOKUP(C137,'3-SNR-Chan SE vs Range'!$Y$9:$Z$23,2),VLOOKUP(C137,$AH$9:$AI$23,2))</f>
        <v>#VALUE!</v>
      </c>
      <c r="E137" s="288" t="e">
        <f>SUM(D137:D$160)/$A137/((3*3^0.5/2)*B137^2)</f>
        <v>#VALUE!</v>
      </c>
      <c r="F137" s="201" t="e">
        <f t="shared" ref="F137:F161" si="38">B137</f>
        <v>#VALUE!</v>
      </c>
      <c r="G137" s="99" t="e">
        <f t="shared" ref="G137:G161" si="39">B137^2/B$136^2</f>
        <v>#VALUE!</v>
      </c>
      <c r="H137" s="22" t="e">
        <f>(H136^2-(H$136^2-H$131^2)/25)^0.5</f>
        <v>#VALUE!</v>
      </c>
      <c r="I137" s="22" t="e">
        <f>I$136+I$134*LOG10(H$136/H137)</f>
        <v>#VALUE!</v>
      </c>
      <c r="J137" s="22" t="e">
        <f>IF($I$6="UL",VLOOKUP(I137,'3-SNR-Chan SE vs Range'!$Y$9:$Z$23,2),VLOOKUP(I137,$AH$9:$AI$23,2))</f>
        <v>#VALUE!</v>
      </c>
      <c r="K137" s="288" t="e">
        <f>SUM(J137:J$160)/$A137/((3*3^0.5/2)*H137^2)</f>
        <v>#VALUE!</v>
      </c>
      <c r="L137" s="201" t="e">
        <f t="shared" ref="L137:L161" si="40">H137</f>
        <v>#VALUE!</v>
      </c>
      <c r="M137" s="99" t="e">
        <f t="shared" ref="M137:M161" si="41">H137^2/H$136^2</f>
        <v>#VALUE!</v>
      </c>
      <c r="N137" s="22" t="e">
        <f>(N136^2-(N$136^2-N$131^2)/25)^0.5</f>
        <v>#VALUE!</v>
      </c>
      <c r="O137" s="22" t="e">
        <f>O$136+O$134*LOG10(N$136/N137)</f>
        <v>#VALUE!</v>
      </c>
      <c r="P137" s="22" t="e">
        <f>IF($I$6="UL",VLOOKUP(O137,'3-SNR-Chan SE vs Range'!$Y$9:$Z$23,2),VLOOKUP(O137,$AH$9:$AI$23,2))</f>
        <v>#VALUE!</v>
      </c>
      <c r="Q137" s="288" t="e">
        <f>SUM(P137:P$160)/$A137/((3*3^0.5/2)*N137^2)</f>
        <v>#VALUE!</v>
      </c>
      <c r="R137" s="201" t="e">
        <f t="shared" ref="R137:R161" si="42">N137</f>
        <v>#VALUE!</v>
      </c>
      <c r="S137" s="99" t="e">
        <f t="shared" ref="S137:S161" si="43">N137^2/N$136^2</f>
        <v>#VALUE!</v>
      </c>
    </row>
    <row r="138" spans="1:19">
      <c r="A138">
        <f t="shared" ref="A138:A161" si="44">A137-1</f>
        <v>23</v>
      </c>
      <c r="B138" s="22" t="e">
        <f t="shared" ref="B138:B160" si="45">(B137^2-(B$136^2-B$161^2)/25)^0.5</f>
        <v>#VALUE!</v>
      </c>
      <c r="C138" s="22" t="e">
        <f t="shared" ref="C138:C161" si="46">C$136+C$134*LOG10(B$136/B138)</f>
        <v>#VALUE!</v>
      </c>
      <c r="D138" s="22" t="e">
        <f>IF($I$6="UL",VLOOKUP(C138,'3-SNR-Chan SE vs Range'!$Y$9:$Z$23,2),VLOOKUP(C138,$AH$9:$AI$23,2))</f>
        <v>#VALUE!</v>
      </c>
      <c r="E138" s="288" t="e">
        <f>SUM(D138:D$160)/$A138/((3*3^0.5/2)*B138^2)</f>
        <v>#VALUE!</v>
      </c>
      <c r="F138" s="201" t="e">
        <f t="shared" si="38"/>
        <v>#VALUE!</v>
      </c>
      <c r="G138" s="99" t="e">
        <f t="shared" si="39"/>
        <v>#VALUE!</v>
      </c>
      <c r="H138" s="22" t="e">
        <f t="shared" ref="H138:H160" si="47">(H137^2-(H$136^2-H$131^2)/25)^0.5</f>
        <v>#VALUE!</v>
      </c>
      <c r="I138" s="22" t="e">
        <f t="shared" ref="I138:I161" si="48">I$136+I$134*LOG10(H$136/H138)</f>
        <v>#VALUE!</v>
      </c>
      <c r="J138" s="22" t="e">
        <f>IF($I$6="UL",VLOOKUP(I138,'3-SNR-Chan SE vs Range'!$Y$9:$Z$23,2),VLOOKUP(I138,$AH$9:$AI$23,2))</f>
        <v>#VALUE!</v>
      </c>
      <c r="K138" s="288" t="e">
        <f>SUM(J138:J$160)/$A138/((3*3^0.5/2)*H138^2)</f>
        <v>#VALUE!</v>
      </c>
      <c r="L138" s="201" t="e">
        <f t="shared" si="40"/>
        <v>#VALUE!</v>
      </c>
      <c r="M138" s="99" t="e">
        <f t="shared" si="41"/>
        <v>#VALUE!</v>
      </c>
      <c r="N138" s="22" t="e">
        <f t="shared" ref="N138:N160" si="49">(N137^2-(N$136^2-N$131^2)/25)^0.5</f>
        <v>#VALUE!</v>
      </c>
      <c r="O138" s="22" t="e">
        <f t="shared" ref="O138:O161" si="50">O$136+O$134*LOG10(N$136/N138)</f>
        <v>#VALUE!</v>
      </c>
      <c r="P138" s="22" t="e">
        <f>IF($I$6="UL",VLOOKUP(O138,'3-SNR-Chan SE vs Range'!$Y$9:$Z$23,2),VLOOKUP(O138,$AH$9:$AI$23,2))</f>
        <v>#VALUE!</v>
      </c>
      <c r="Q138" s="288" t="e">
        <f>SUM(P138:P$160)/$A138/((3*3^0.5/2)*N138^2)</f>
        <v>#VALUE!</v>
      </c>
      <c r="R138" s="201" t="e">
        <f t="shared" si="42"/>
        <v>#VALUE!</v>
      </c>
      <c r="S138" s="99" t="e">
        <f t="shared" si="43"/>
        <v>#VALUE!</v>
      </c>
    </row>
    <row r="139" spans="1:19">
      <c r="A139">
        <f t="shared" si="44"/>
        <v>22</v>
      </c>
      <c r="B139" s="22" t="e">
        <f t="shared" si="45"/>
        <v>#VALUE!</v>
      </c>
      <c r="C139" s="22" t="e">
        <f t="shared" si="46"/>
        <v>#VALUE!</v>
      </c>
      <c r="D139" s="22" t="e">
        <f>IF($I$6="UL",VLOOKUP(C139,'3-SNR-Chan SE vs Range'!$Y$9:$Z$23,2),VLOOKUP(C139,$AH$9:$AI$23,2))</f>
        <v>#VALUE!</v>
      </c>
      <c r="E139" s="288" t="e">
        <f>SUM(D139:D$160)/$A139/((3*3^0.5/2)*B139^2)</f>
        <v>#VALUE!</v>
      </c>
      <c r="F139" s="201" t="e">
        <f t="shared" si="38"/>
        <v>#VALUE!</v>
      </c>
      <c r="G139" s="99" t="e">
        <f t="shared" si="39"/>
        <v>#VALUE!</v>
      </c>
      <c r="H139" s="22" t="e">
        <f t="shared" si="47"/>
        <v>#VALUE!</v>
      </c>
      <c r="I139" s="22" t="e">
        <f t="shared" si="48"/>
        <v>#VALUE!</v>
      </c>
      <c r="J139" s="22" t="e">
        <f>IF($I$6="UL",VLOOKUP(I139,'3-SNR-Chan SE vs Range'!$Y$9:$Z$23,2),VLOOKUP(I139,$AH$9:$AI$23,2))</f>
        <v>#VALUE!</v>
      </c>
      <c r="K139" s="288" t="e">
        <f>SUM(J139:J$160)/$A139/((3*3^0.5/2)*H139^2)</f>
        <v>#VALUE!</v>
      </c>
      <c r="L139" s="201" t="e">
        <f t="shared" si="40"/>
        <v>#VALUE!</v>
      </c>
      <c r="M139" s="99" t="e">
        <f t="shared" si="41"/>
        <v>#VALUE!</v>
      </c>
      <c r="N139" s="22" t="e">
        <f t="shared" si="49"/>
        <v>#VALUE!</v>
      </c>
      <c r="O139" s="22" t="e">
        <f t="shared" si="50"/>
        <v>#VALUE!</v>
      </c>
      <c r="P139" s="22" t="e">
        <f>IF($I$6="UL",VLOOKUP(O139,'3-SNR-Chan SE vs Range'!$Y$9:$Z$23,2),VLOOKUP(O139,$AH$9:$AI$23,2))</f>
        <v>#VALUE!</v>
      </c>
      <c r="Q139" s="288" t="e">
        <f>SUM(P139:P$160)/$A139/((3*3^0.5/2)*N139^2)</f>
        <v>#VALUE!</v>
      </c>
      <c r="R139" s="201" t="e">
        <f t="shared" si="42"/>
        <v>#VALUE!</v>
      </c>
      <c r="S139" s="99" t="e">
        <f t="shared" si="43"/>
        <v>#VALUE!</v>
      </c>
    </row>
    <row r="140" spans="1:19">
      <c r="A140">
        <f t="shared" si="44"/>
        <v>21</v>
      </c>
      <c r="B140" s="22" t="e">
        <f t="shared" si="45"/>
        <v>#VALUE!</v>
      </c>
      <c r="C140" s="22" t="e">
        <f t="shared" si="46"/>
        <v>#VALUE!</v>
      </c>
      <c r="D140" s="22" t="e">
        <f>IF($I$6="UL",VLOOKUP(C140,'3-SNR-Chan SE vs Range'!$Y$9:$Z$23,2),VLOOKUP(C140,$AH$9:$AI$23,2))</f>
        <v>#VALUE!</v>
      </c>
      <c r="E140" s="288" t="e">
        <f>SUM(D140:D$160)/$A140/((3*3^0.5/2)*B140^2)</f>
        <v>#VALUE!</v>
      </c>
      <c r="F140" s="201" t="e">
        <f t="shared" si="38"/>
        <v>#VALUE!</v>
      </c>
      <c r="G140" s="99" t="e">
        <f t="shared" si="39"/>
        <v>#VALUE!</v>
      </c>
      <c r="H140" s="22" t="e">
        <f t="shared" si="47"/>
        <v>#VALUE!</v>
      </c>
      <c r="I140" s="22" t="e">
        <f t="shared" si="48"/>
        <v>#VALUE!</v>
      </c>
      <c r="J140" s="22" t="e">
        <f>IF($I$6="UL",VLOOKUP(I140,'3-SNR-Chan SE vs Range'!$Y$9:$Z$23,2),VLOOKUP(I140,$AH$9:$AI$23,2))</f>
        <v>#VALUE!</v>
      </c>
      <c r="K140" s="288" t="e">
        <f>SUM(J140:J$160)/$A140/((3*3^0.5/2)*H140^2)</f>
        <v>#VALUE!</v>
      </c>
      <c r="L140" s="201" t="e">
        <f t="shared" si="40"/>
        <v>#VALUE!</v>
      </c>
      <c r="M140" s="99" t="e">
        <f t="shared" si="41"/>
        <v>#VALUE!</v>
      </c>
      <c r="N140" s="22" t="e">
        <f t="shared" si="49"/>
        <v>#VALUE!</v>
      </c>
      <c r="O140" s="22" t="e">
        <f t="shared" si="50"/>
        <v>#VALUE!</v>
      </c>
      <c r="P140" s="22" t="e">
        <f>IF($I$6="UL",VLOOKUP(O140,'3-SNR-Chan SE vs Range'!$Y$9:$Z$23,2),VLOOKUP(O140,$AH$9:$AI$23,2))</f>
        <v>#VALUE!</v>
      </c>
      <c r="Q140" s="288" t="e">
        <f>SUM(P140:P$160)/$A140/((3*3^0.5/2)*N140^2)</f>
        <v>#VALUE!</v>
      </c>
      <c r="R140" s="201" t="e">
        <f t="shared" si="42"/>
        <v>#VALUE!</v>
      </c>
      <c r="S140" s="99" t="e">
        <f t="shared" si="43"/>
        <v>#VALUE!</v>
      </c>
    </row>
    <row r="141" spans="1:19">
      <c r="A141">
        <f t="shared" si="44"/>
        <v>20</v>
      </c>
      <c r="B141" s="22" t="e">
        <f t="shared" si="45"/>
        <v>#VALUE!</v>
      </c>
      <c r="C141" s="22" t="e">
        <f t="shared" si="46"/>
        <v>#VALUE!</v>
      </c>
      <c r="D141" s="22" t="e">
        <f>IF($I$6="UL",VLOOKUP(C141,'3-SNR-Chan SE vs Range'!$Y$9:$Z$23,2),VLOOKUP(C141,$AH$9:$AI$23,2))</f>
        <v>#VALUE!</v>
      </c>
      <c r="E141" s="288" t="e">
        <f>SUM(D141:D$160)/$A141/((3*3^0.5/2)*B141^2)</f>
        <v>#VALUE!</v>
      </c>
      <c r="F141" s="201" t="e">
        <f t="shared" si="38"/>
        <v>#VALUE!</v>
      </c>
      <c r="G141" s="99" t="e">
        <f t="shared" si="39"/>
        <v>#VALUE!</v>
      </c>
      <c r="H141" s="22" t="e">
        <f t="shared" si="47"/>
        <v>#VALUE!</v>
      </c>
      <c r="I141" s="22" t="e">
        <f t="shared" si="48"/>
        <v>#VALUE!</v>
      </c>
      <c r="J141" s="22" t="e">
        <f>IF($I$6="UL",VLOOKUP(I141,'3-SNR-Chan SE vs Range'!$Y$9:$Z$23,2),VLOOKUP(I141,$AH$9:$AI$23,2))</f>
        <v>#VALUE!</v>
      </c>
      <c r="K141" s="288" t="e">
        <f>SUM(J141:J$160)/$A141/((3*3^0.5/2)*H141^2)</f>
        <v>#VALUE!</v>
      </c>
      <c r="L141" s="201" t="e">
        <f t="shared" si="40"/>
        <v>#VALUE!</v>
      </c>
      <c r="M141" s="99" t="e">
        <f t="shared" si="41"/>
        <v>#VALUE!</v>
      </c>
      <c r="N141" s="22" t="e">
        <f t="shared" si="49"/>
        <v>#VALUE!</v>
      </c>
      <c r="O141" s="22" t="e">
        <f t="shared" si="50"/>
        <v>#VALUE!</v>
      </c>
      <c r="P141" s="22" t="e">
        <f>IF($I$6="UL",VLOOKUP(O141,'3-SNR-Chan SE vs Range'!$Y$9:$Z$23,2),VLOOKUP(O141,$AH$9:$AI$23,2))</f>
        <v>#VALUE!</v>
      </c>
      <c r="Q141" s="288" t="e">
        <f>SUM(P141:P$160)/$A141/((3*3^0.5/2)*N141^2)</f>
        <v>#VALUE!</v>
      </c>
      <c r="R141" s="201" t="e">
        <f t="shared" si="42"/>
        <v>#VALUE!</v>
      </c>
      <c r="S141" s="99" t="e">
        <f t="shared" si="43"/>
        <v>#VALUE!</v>
      </c>
    </row>
    <row r="142" spans="1:19">
      <c r="A142">
        <f t="shared" si="44"/>
        <v>19</v>
      </c>
      <c r="B142" s="22" t="e">
        <f t="shared" si="45"/>
        <v>#VALUE!</v>
      </c>
      <c r="C142" s="22" t="e">
        <f t="shared" si="46"/>
        <v>#VALUE!</v>
      </c>
      <c r="D142" s="22" t="e">
        <f>IF($I$6="UL",VLOOKUP(C142,'3-SNR-Chan SE vs Range'!$Y$9:$Z$23,2),VLOOKUP(C142,$AH$9:$AI$23,2))</f>
        <v>#VALUE!</v>
      </c>
      <c r="E142" s="288" t="e">
        <f>SUM(D142:D$160)/$A142/((3*3^0.5/2)*B142^2)</f>
        <v>#VALUE!</v>
      </c>
      <c r="F142" s="201" t="e">
        <f t="shared" si="38"/>
        <v>#VALUE!</v>
      </c>
      <c r="G142" s="99" t="e">
        <f t="shared" si="39"/>
        <v>#VALUE!</v>
      </c>
      <c r="H142" s="22" t="e">
        <f t="shared" si="47"/>
        <v>#VALUE!</v>
      </c>
      <c r="I142" s="22" t="e">
        <f t="shared" si="48"/>
        <v>#VALUE!</v>
      </c>
      <c r="J142" s="22" t="e">
        <f>IF($I$6="UL",VLOOKUP(I142,'3-SNR-Chan SE vs Range'!$Y$9:$Z$23,2),VLOOKUP(I142,$AH$9:$AI$23,2))</f>
        <v>#VALUE!</v>
      </c>
      <c r="K142" s="288" t="e">
        <f>SUM(J142:J$160)/$A142/((3*3^0.5/2)*H142^2)</f>
        <v>#VALUE!</v>
      </c>
      <c r="L142" s="201" t="e">
        <f t="shared" si="40"/>
        <v>#VALUE!</v>
      </c>
      <c r="M142" s="99" t="e">
        <f t="shared" si="41"/>
        <v>#VALUE!</v>
      </c>
      <c r="N142" s="22" t="e">
        <f t="shared" si="49"/>
        <v>#VALUE!</v>
      </c>
      <c r="O142" s="22" t="e">
        <f t="shared" si="50"/>
        <v>#VALUE!</v>
      </c>
      <c r="P142" s="22" t="e">
        <f>IF($I$6="UL",VLOOKUP(O142,'3-SNR-Chan SE vs Range'!$Y$9:$Z$23,2),VLOOKUP(O142,$AH$9:$AI$23,2))</f>
        <v>#VALUE!</v>
      </c>
      <c r="Q142" s="288" t="e">
        <f>SUM(P142:P$160)/$A142/((3*3^0.5/2)*N142^2)</f>
        <v>#VALUE!</v>
      </c>
      <c r="R142" s="201" t="e">
        <f t="shared" si="42"/>
        <v>#VALUE!</v>
      </c>
      <c r="S142" s="99" t="e">
        <f t="shared" si="43"/>
        <v>#VALUE!</v>
      </c>
    </row>
    <row r="143" spans="1:19">
      <c r="A143">
        <f t="shared" si="44"/>
        <v>18</v>
      </c>
      <c r="B143" s="22" t="e">
        <f t="shared" si="45"/>
        <v>#VALUE!</v>
      </c>
      <c r="C143" s="22" t="e">
        <f t="shared" si="46"/>
        <v>#VALUE!</v>
      </c>
      <c r="D143" s="22" t="e">
        <f>IF($I$6="UL",VLOOKUP(C143,'3-SNR-Chan SE vs Range'!$Y$9:$Z$23,2),VLOOKUP(C143,$AH$9:$AI$23,2))</f>
        <v>#VALUE!</v>
      </c>
      <c r="E143" s="288" t="e">
        <f>SUM(D143:D$160)/$A143/((3*3^0.5/2)*B143^2)</f>
        <v>#VALUE!</v>
      </c>
      <c r="F143" s="201" t="e">
        <f t="shared" si="38"/>
        <v>#VALUE!</v>
      </c>
      <c r="G143" s="99" t="e">
        <f t="shared" si="39"/>
        <v>#VALUE!</v>
      </c>
      <c r="H143" s="22" t="e">
        <f t="shared" si="47"/>
        <v>#VALUE!</v>
      </c>
      <c r="I143" s="22" t="e">
        <f t="shared" si="48"/>
        <v>#VALUE!</v>
      </c>
      <c r="J143" s="22" t="e">
        <f>IF($I$6="UL",VLOOKUP(I143,'3-SNR-Chan SE vs Range'!$Y$9:$Z$23,2),VLOOKUP(I143,$AH$9:$AI$23,2))</f>
        <v>#VALUE!</v>
      </c>
      <c r="K143" s="288" t="e">
        <f>SUM(J143:J$160)/$A143/((3*3^0.5/2)*H143^2)</f>
        <v>#VALUE!</v>
      </c>
      <c r="L143" s="201" t="e">
        <f t="shared" si="40"/>
        <v>#VALUE!</v>
      </c>
      <c r="M143" s="99" t="e">
        <f t="shared" si="41"/>
        <v>#VALUE!</v>
      </c>
      <c r="N143" s="22" t="e">
        <f t="shared" si="49"/>
        <v>#VALUE!</v>
      </c>
      <c r="O143" s="22" t="e">
        <f t="shared" si="50"/>
        <v>#VALUE!</v>
      </c>
      <c r="P143" s="22" t="e">
        <f>IF($I$6="UL",VLOOKUP(O143,'3-SNR-Chan SE vs Range'!$Y$9:$Z$23,2),VLOOKUP(O143,$AH$9:$AI$23,2))</f>
        <v>#VALUE!</v>
      </c>
      <c r="Q143" s="288" t="e">
        <f>SUM(P143:P$160)/$A143/((3*3^0.5/2)*N143^2)</f>
        <v>#VALUE!</v>
      </c>
      <c r="R143" s="201" t="e">
        <f t="shared" si="42"/>
        <v>#VALUE!</v>
      </c>
      <c r="S143" s="99" t="e">
        <f t="shared" si="43"/>
        <v>#VALUE!</v>
      </c>
    </row>
    <row r="144" spans="1:19">
      <c r="A144">
        <f t="shared" si="44"/>
        <v>17</v>
      </c>
      <c r="B144" s="22" t="e">
        <f t="shared" si="45"/>
        <v>#VALUE!</v>
      </c>
      <c r="C144" s="22" t="e">
        <f t="shared" si="46"/>
        <v>#VALUE!</v>
      </c>
      <c r="D144" s="22" t="e">
        <f>IF($I$6="UL",VLOOKUP(C144,'3-SNR-Chan SE vs Range'!$Y$9:$Z$23,2),VLOOKUP(C144,$AH$9:$AI$23,2))</f>
        <v>#VALUE!</v>
      </c>
      <c r="E144" s="288" t="e">
        <f>SUM(D144:D$160)/$A144/((3*3^0.5/2)*B144^2)</f>
        <v>#VALUE!</v>
      </c>
      <c r="F144" s="201" t="e">
        <f t="shared" si="38"/>
        <v>#VALUE!</v>
      </c>
      <c r="G144" s="99" t="e">
        <f t="shared" si="39"/>
        <v>#VALUE!</v>
      </c>
      <c r="H144" s="22" t="e">
        <f t="shared" si="47"/>
        <v>#VALUE!</v>
      </c>
      <c r="I144" s="22" t="e">
        <f t="shared" si="48"/>
        <v>#VALUE!</v>
      </c>
      <c r="J144" s="22" t="e">
        <f>IF($I$6="UL",VLOOKUP(I144,'3-SNR-Chan SE vs Range'!$Y$9:$Z$23,2),VLOOKUP(I144,$AH$9:$AI$23,2))</f>
        <v>#VALUE!</v>
      </c>
      <c r="K144" s="288" t="e">
        <f>SUM(J144:J$160)/$A144/((3*3^0.5/2)*H144^2)</f>
        <v>#VALUE!</v>
      </c>
      <c r="L144" s="201" t="e">
        <f t="shared" si="40"/>
        <v>#VALUE!</v>
      </c>
      <c r="M144" s="99" t="e">
        <f t="shared" si="41"/>
        <v>#VALUE!</v>
      </c>
      <c r="N144" s="22" t="e">
        <f t="shared" si="49"/>
        <v>#VALUE!</v>
      </c>
      <c r="O144" s="22" t="e">
        <f t="shared" si="50"/>
        <v>#VALUE!</v>
      </c>
      <c r="P144" s="22" t="e">
        <f>IF($I$6="UL",VLOOKUP(O144,'3-SNR-Chan SE vs Range'!$Y$9:$Z$23,2),VLOOKUP(O144,$AH$9:$AI$23,2))</f>
        <v>#VALUE!</v>
      </c>
      <c r="Q144" s="288" t="e">
        <f>SUM(P144:P$160)/$A144/((3*3^0.5/2)*N144^2)</f>
        <v>#VALUE!</v>
      </c>
      <c r="R144" s="201" t="e">
        <f t="shared" si="42"/>
        <v>#VALUE!</v>
      </c>
      <c r="S144" s="99" t="e">
        <f t="shared" si="43"/>
        <v>#VALUE!</v>
      </c>
    </row>
    <row r="145" spans="1:19">
      <c r="A145">
        <f t="shared" si="44"/>
        <v>16</v>
      </c>
      <c r="B145" s="22" t="e">
        <f t="shared" si="45"/>
        <v>#VALUE!</v>
      </c>
      <c r="C145" s="22" t="e">
        <f t="shared" si="46"/>
        <v>#VALUE!</v>
      </c>
      <c r="D145" s="22" t="e">
        <f>IF($I$6="UL",VLOOKUP(C145,'3-SNR-Chan SE vs Range'!$Y$9:$Z$23,2),VLOOKUP(C145,$AH$9:$AI$23,2))</f>
        <v>#VALUE!</v>
      </c>
      <c r="E145" s="288" t="e">
        <f>SUM(D145:D$160)/$A145/((3*3^0.5/2)*B145^2)</f>
        <v>#VALUE!</v>
      </c>
      <c r="F145" s="201" t="e">
        <f t="shared" si="38"/>
        <v>#VALUE!</v>
      </c>
      <c r="G145" s="99" t="e">
        <f t="shared" si="39"/>
        <v>#VALUE!</v>
      </c>
      <c r="H145" s="22" t="e">
        <f t="shared" si="47"/>
        <v>#VALUE!</v>
      </c>
      <c r="I145" s="22" t="e">
        <f t="shared" si="48"/>
        <v>#VALUE!</v>
      </c>
      <c r="J145" s="22" t="e">
        <f>IF($I$6="UL",VLOOKUP(I145,'3-SNR-Chan SE vs Range'!$Y$9:$Z$23,2),VLOOKUP(I145,$AH$9:$AI$23,2))</f>
        <v>#VALUE!</v>
      </c>
      <c r="K145" s="288" t="e">
        <f>SUM(J145:J$160)/$A145/((3*3^0.5/2)*H145^2)</f>
        <v>#VALUE!</v>
      </c>
      <c r="L145" s="201" t="e">
        <f t="shared" si="40"/>
        <v>#VALUE!</v>
      </c>
      <c r="M145" s="99" t="e">
        <f t="shared" si="41"/>
        <v>#VALUE!</v>
      </c>
      <c r="N145" s="22" t="e">
        <f t="shared" si="49"/>
        <v>#VALUE!</v>
      </c>
      <c r="O145" s="22" t="e">
        <f t="shared" si="50"/>
        <v>#VALUE!</v>
      </c>
      <c r="P145" s="22" t="e">
        <f>IF($I$6="UL",VLOOKUP(O145,'3-SNR-Chan SE vs Range'!$Y$9:$Z$23,2),VLOOKUP(O145,$AH$9:$AI$23,2))</f>
        <v>#VALUE!</v>
      </c>
      <c r="Q145" s="288" t="e">
        <f>SUM(P145:P$160)/$A145/((3*3^0.5/2)*N145^2)</f>
        <v>#VALUE!</v>
      </c>
      <c r="R145" s="201" t="e">
        <f t="shared" si="42"/>
        <v>#VALUE!</v>
      </c>
      <c r="S145" s="99" t="e">
        <f t="shared" si="43"/>
        <v>#VALUE!</v>
      </c>
    </row>
    <row r="146" spans="1:19">
      <c r="A146">
        <f t="shared" si="44"/>
        <v>15</v>
      </c>
      <c r="B146" s="22" t="e">
        <f t="shared" si="45"/>
        <v>#VALUE!</v>
      </c>
      <c r="C146" s="22" t="e">
        <f t="shared" si="46"/>
        <v>#VALUE!</v>
      </c>
      <c r="D146" s="22" t="e">
        <f>IF($I$6="UL",VLOOKUP(C146,'3-SNR-Chan SE vs Range'!$Y$9:$Z$23,2),VLOOKUP(C146,$AH$9:$AI$23,2))</f>
        <v>#VALUE!</v>
      </c>
      <c r="E146" s="288" t="e">
        <f>SUM(D146:D$160)/$A146/((3*3^0.5/2)*B146^2)</f>
        <v>#VALUE!</v>
      </c>
      <c r="F146" s="201" t="e">
        <f t="shared" si="38"/>
        <v>#VALUE!</v>
      </c>
      <c r="G146" s="99" t="e">
        <f t="shared" si="39"/>
        <v>#VALUE!</v>
      </c>
      <c r="H146" s="22" t="e">
        <f t="shared" si="47"/>
        <v>#VALUE!</v>
      </c>
      <c r="I146" s="22" t="e">
        <f t="shared" si="48"/>
        <v>#VALUE!</v>
      </c>
      <c r="J146" s="22" t="e">
        <f>IF($I$6="UL",VLOOKUP(I146,'3-SNR-Chan SE vs Range'!$Y$9:$Z$23,2),VLOOKUP(I146,$AH$9:$AI$23,2))</f>
        <v>#VALUE!</v>
      </c>
      <c r="K146" s="288" t="e">
        <f>SUM(J146:J$160)/$A146/((3*3^0.5/2)*H146^2)</f>
        <v>#VALUE!</v>
      </c>
      <c r="L146" s="201" t="e">
        <f t="shared" si="40"/>
        <v>#VALUE!</v>
      </c>
      <c r="M146" s="99" t="e">
        <f t="shared" si="41"/>
        <v>#VALUE!</v>
      </c>
      <c r="N146" s="22" t="e">
        <f t="shared" si="49"/>
        <v>#VALUE!</v>
      </c>
      <c r="O146" s="22" t="e">
        <f t="shared" si="50"/>
        <v>#VALUE!</v>
      </c>
      <c r="P146" s="22" t="e">
        <f>IF($I$6="UL",VLOOKUP(O146,'3-SNR-Chan SE vs Range'!$Y$9:$Z$23,2),VLOOKUP(O146,$AH$9:$AI$23,2))</f>
        <v>#VALUE!</v>
      </c>
      <c r="Q146" s="288" t="e">
        <f>SUM(P146:P$160)/$A146/((3*3^0.5/2)*N146^2)</f>
        <v>#VALUE!</v>
      </c>
      <c r="R146" s="201" t="e">
        <f t="shared" si="42"/>
        <v>#VALUE!</v>
      </c>
      <c r="S146" s="99" t="e">
        <f t="shared" si="43"/>
        <v>#VALUE!</v>
      </c>
    </row>
    <row r="147" spans="1:19">
      <c r="A147">
        <f t="shared" si="44"/>
        <v>14</v>
      </c>
      <c r="B147" s="22" t="e">
        <f t="shared" si="45"/>
        <v>#VALUE!</v>
      </c>
      <c r="C147" s="22" t="e">
        <f t="shared" si="46"/>
        <v>#VALUE!</v>
      </c>
      <c r="D147" s="22" t="e">
        <f>IF($I$6="UL",VLOOKUP(C147,'3-SNR-Chan SE vs Range'!$Y$9:$Z$23,2),VLOOKUP(C147,$AH$9:$AI$23,2))</f>
        <v>#VALUE!</v>
      </c>
      <c r="E147" s="288" t="e">
        <f>SUM(D147:D$160)/$A147/((3*3^0.5/2)*B147^2)</f>
        <v>#VALUE!</v>
      </c>
      <c r="F147" s="201" t="e">
        <f t="shared" si="38"/>
        <v>#VALUE!</v>
      </c>
      <c r="G147" s="99" t="e">
        <f t="shared" si="39"/>
        <v>#VALUE!</v>
      </c>
      <c r="H147" s="22" t="e">
        <f t="shared" si="47"/>
        <v>#VALUE!</v>
      </c>
      <c r="I147" s="22" t="e">
        <f t="shared" si="48"/>
        <v>#VALUE!</v>
      </c>
      <c r="J147" s="22" t="e">
        <f>IF($I$6="UL",VLOOKUP(I147,'3-SNR-Chan SE vs Range'!$Y$9:$Z$23,2),VLOOKUP(I147,$AH$9:$AI$23,2))</f>
        <v>#VALUE!</v>
      </c>
      <c r="K147" s="288" t="e">
        <f>SUM(J147:J$160)/$A147/((3*3^0.5/2)*H147^2)</f>
        <v>#VALUE!</v>
      </c>
      <c r="L147" s="201" t="e">
        <f t="shared" si="40"/>
        <v>#VALUE!</v>
      </c>
      <c r="M147" s="99" t="e">
        <f t="shared" si="41"/>
        <v>#VALUE!</v>
      </c>
      <c r="N147" s="22" t="e">
        <f t="shared" si="49"/>
        <v>#VALUE!</v>
      </c>
      <c r="O147" s="22" t="e">
        <f t="shared" si="50"/>
        <v>#VALUE!</v>
      </c>
      <c r="P147" s="22" t="e">
        <f>IF($I$6="UL",VLOOKUP(O147,'3-SNR-Chan SE vs Range'!$Y$9:$Z$23,2),VLOOKUP(O147,$AH$9:$AI$23,2))</f>
        <v>#VALUE!</v>
      </c>
      <c r="Q147" s="288" t="e">
        <f>SUM(P147:P$160)/$A147/((3*3^0.5/2)*N147^2)</f>
        <v>#VALUE!</v>
      </c>
      <c r="R147" s="201" t="e">
        <f t="shared" si="42"/>
        <v>#VALUE!</v>
      </c>
      <c r="S147" s="99" t="e">
        <f t="shared" si="43"/>
        <v>#VALUE!</v>
      </c>
    </row>
    <row r="148" spans="1:19">
      <c r="A148">
        <f t="shared" si="44"/>
        <v>13</v>
      </c>
      <c r="B148" s="22" t="e">
        <f t="shared" si="45"/>
        <v>#VALUE!</v>
      </c>
      <c r="C148" s="22" t="e">
        <f t="shared" si="46"/>
        <v>#VALUE!</v>
      </c>
      <c r="D148" s="22" t="e">
        <f>IF($I$6="UL",VLOOKUP(C148,'3-SNR-Chan SE vs Range'!$Y$9:$Z$23,2),VLOOKUP(C148,$AH$9:$AI$23,2))</f>
        <v>#VALUE!</v>
      </c>
      <c r="E148" s="288" t="e">
        <f>SUM(D148:D$160)/$A148/((3*3^0.5/2)*B148^2)</f>
        <v>#VALUE!</v>
      </c>
      <c r="F148" s="201" t="e">
        <f t="shared" si="38"/>
        <v>#VALUE!</v>
      </c>
      <c r="G148" s="99" t="e">
        <f t="shared" si="39"/>
        <v>#VALUE!</v>
      </c>
      <c r="H148" s="22" t="e">
        <f t="shared" si="47"/>
        <v>#VALUE!</v>
      </c>
      <c r="I148" s="22" t="e">
        <f t="shared" si="48"/>
        <v>#VALUE!</v>
      </c>
      <c r="J148" s="22" t="e">
        <f>IF($I$6="UL",VLOOKUP(I148,'3-SNR-Chan SE vs Range'!$Y$9:$Z$23,2),VLOOKUP(I148,$AH$9:$AI$23,2))</f>
        <v>#VALUE!</v>
      </c>
      <c r="K148" s="288" t="e">
        <f>SUM(J148:J$160)/$A148/((3*3^0.5/2)*H148^2)</f>
        <v>#VALUE!</v>
      </c>
      <c r="L148" s="201" t="e">
        <f t="shared" si="40"/>
        <v>#VALUE!</v>
      </c>
      <c r="M148" s="99" t="e">
        <f t="shared" si="41"/>
        <v>#VALUE!</v>
      </c>
      <c r="N148" s="22" t="e">
        <f t="shared" si="49"/>
        <v>#VALUE!</v>
      </c>
      <c r="O148" s="22" t="e">
        <f t="shared" si="50"/>
        <v>#VALUE!</v>
      </c>
      <c r="P148" s="22" t="e">
        <f>IF($I$6="UL",VLOOKUP(O148,'3-SNR-Chan SE vs Range'!$Y$9:$Z$23,2),VLOOKUP(O148,$AH$9:$AI$23,2))</f>
        <v>#VALUE!</v>
      </c>
      <c r="Q148" s="288" t="e">
        <f>SUM(P148:P$160)/$A148/((3*3^0.5/2)*N148^2)</f>
        <v>#VALUE!</v>
      </c>
      <c r="R148" s="201" t="e">
        <f t="shared" si="42"/>
        <v>#VALUE!</v>
      </c>
      <c r="S148" s="99" t="e">
        <f t="shared" si="43"/>
        <v>#VALUE!</v>
      </c>
    </row>
    <row r="149" spans="1:19">
      <c r="A149">
        <f t="shared" si="44"/>
        <v>12</v>
      </c>
      <c r="B149" s="22" t="e">
        <f t="shared" si="45"/>
        <v>#VALUE!</v>
      </c>
      <c r="C149" s="22" t="e">
        <f t="shared" si="46"/>
        <v>#VALUE!</v>
      </c>
      <c r="D149" s="22" t="e">
        <f>IF($I$6="UL",VLOOKUP(C149,'3-SNR-Chan SE vs Range'!$Y$9:$Z$23,2),VLOOKUP(C149,$AH$9:$AI$23,2))</f>
        <v>#VALUE!</v>
      </c>
      <c r="E149" s="288" t="e">
        <f>SUM(D149:D$160)/$A149/((3*3^0.5/2)*B149^2)</f>
        <v>#VALUE!</v>
      </c>
      <c r="F149" s="201" t="e">
        <f t="shared" si="38"/>
        <v>#VALUE!</v>
      </c>
      <c r="G149" s="99" t="e">
        <f t="shared" si="39"/>
        <v>#VALUE!</v>
      </c>
      <c r="H149" s="22" t="e">
        <f t="shared" si="47"/>
        <v>#VALUE!</v>
      </c>
      <c r="I149" s="22" t="e">
        <f t="shared" si="48"/>
        <v>#VALUE!</v>
      </c>
      <c r="J149" s="22" t="e">
        <f>IF($I$6="UL",VLOOKUP(I149,'3-SNR-Chan SE vs Range'!$Y$9:$Z$23,2),VLOOKUP(I149,$AH$9:$AI$23,2))</f>
        <v>#VALUE!</v>
      </c>
      <c r="K149" s="288" t="e">
        <f>SUM(J149:J$160)/$A149/((3*3^0.5/2)*H149^2)</f>
        <v>#VALUE!</v>
      </c>
      <c r="L149" s="201" t="e">
        <f t="shared" si="40"/>
        <v>#VALUE!</v>
      </c>
      <c r="M149" s="99" t="e">
        <f t="shared" si="41"/>
        <v>#VALUE!</v>
      </c>
      <c r="N149" s="22" t="e">
        <f t="shared" si="49"/>
        <v>#VALUE!</v>
      </c>
      <c r="O149" s="22" t="e">
        <f t="shared" si="50"/>
        <v>#VALUE!</v>
      </c>
      <c r="P149" s="22" t="e">
        <f>IF($I$6="UL",VLOOKUP(O149,'3-SNR-Chan SE vs Range'!$Y$9:$Z$23,2),VLOOKUP(O149,$AH$9:$AI$23,2))</f>
        <v>#VALUE!</v>
      </c>
      <c r="Q149" s="288" t="e">
        <f>SUM(P149:P$160)/$A149/((3*3^0.5/2)*N149^2)</f>
        <v>#VALUE!</v>
      </c>
      <c r="R149" s="201" t="e">
        <f t="shared" si="42"/>
        <v>#VALUE!</v>
      </c>
      <c r="S149" s="99" t="e">
        <f t="shared" si="43"/>
        <v>#VALUE!</v>
      </c>
    </row>
    <row r="150" spans="1:19">
      <c r="A150">
        <f t="shared" si="44"/>
        <v>11</v>
      </c>
      <c r="B150" s="22" t="e">
        <f t="shared" si="45"/>
        <v>#VALUE!</v>
      </c>
      <c r="C150" s="22" t="e">
        <f t="shared" si="46"/>
        <v>#VALUE!</v>
      </c>
      <c r="D150" s="22" t="e">
        <f>IF($I$6="UL",VLOOKUP(C150,'3-SNR-Chan SE vs Range'!$Y$9:$Z$23,2),VLOOKUP(C150,$AH$9:$AI$23,2))</f>
        <v>#VALUE!</v>
      </c>
      <c r="E150" s="288" t="e">
        <f>SUM(D150:D$160)/$A150/((3*3^0.5/2)*B150^2)</f>
        <v>#VALUE!</v>
      </c>
      <c r="F150" s="201" t="e">
        <f t="shared" si="38"/>
        <v>#VALUE!</v>
      </c>
      <c r="G150" s="99" t="e">
        <f t="shared" si="39"/>
        <v>#VALUE!</v>
      </c>
      <c r="H150" s="22" t="e">
        <f t="shared" si="47"/>
        <v>#VALUE!</v>
      </c>
      <c r="I150" s="22" t="e">
        <f t="shared" si="48"/>
        <v>#VALUE!</v>
      </c>
      <c r="J150" s="22" t="e">
        <f>IF($I$6="UL",VLOOKUP(I150,'3-SNR-Chan SE vs Range'!$Y$9:$Z$23,2),VLOOKUP(I150,$AH$9:$AI$23,2))</f>
        <v>#VALUE!</v>
      </c>
      <c r="K150" s="288" t="e">
        <f>SUM(J150:J$160)/$A150/((3*3^0.5/2)*H150^2)</f>
        <v>#VALUE!</v>
      </c>
      <c r="L150" s="201" t="e">
        <f t="shared" si="40"/>
        <v>#VALUE!</v>
      </c>
      <c r="M150" s="99" t="e">
        <f t="shared" si="41"/>
        <v>#VALUE!</v>
      </c>
      <c r="N150" s="22" t="e">
        <f t="shared" si="49"/>
        <v>#VALUE!</v>
      </c>
      <c r="O150" s="22" t="e">
        <f t="shared" si="50"/>
        <v>#VALUE!</v>
      </c>
      <c r="P150" s="22" t="e">
        <f>IF($I$6="UL",VLOOKUP(O150,'3-SNR-Chan SE vs Range'!$Y$9:$Z$23,2),VLOOKUP(O150,$AH$9:$AI$23,2))</f>
        <v>#VALUE!</v>
      </c>
      <c r="Q150" s="288" t="e">
        <f>SUM(P150:P$160)/$A150/((3*3^0.5/2)*N150^2)</f>
        <v>#VALUE!</v>
      </c>
      <c r="R150" s="201" t="e">
        <f t="shared" si="42"/>
        <v>#VALUE!</v>
      </c>
      <c r="S150" s="99" t="e">
        <f t="shared" si="43"/>
        <v>#VALUE!</v>
      </c>
    </row>
    <row r="151" spans="1:19">
      <c r="A151">
        <f t="shared" si="44"/>
        <v>10</v>
      </c>
      <c r="B151" s="22" t="e">
        <f t="shared" si="45"/>
        <v>#VALUE!</v>
      </c>
      <c r="C151" s="22" t="e">
        <f t="shared" si="46"/>
        <v>#VALUE!</v>
      </c>
      <c r="D151" s="22" t="e">
        <f>IF($I$6="UL",VLOOKUP(C151,'3-SNR-Chan SE vs Range'!$Y$9:$Z$23,2),VLOOKUP(C151,$AH$9:$AI$23,2))</f>
        <v>#VALUE!</v>
      </c>
      <c r="E151" s="288" t="e">
        <f>SUM(D151:D$160)/$A151/((3*3^0.5/2)*B151^2)</f>
        <v>#VALUE!</v>
      </c>
      <c r="F151" s="201" t="e">
        <f t="shared" si="38"/>
        <v>#VALUE!</v>
      </c>
      <c r="G151" s="99" t="e">
        <f t="shared" si="39"/>
        <v>#VALUE!</v>
      </c>
      <c r="H151" s="22" t="e">
        <f t="shared" si="47"/>
        <v>#VALUE!</v>
      </c>
      <c r="I151" s="22" t="e">
        <f t="shared" si="48"/>
        <v>#VALUE!</v>
      </c>
      <c r="J151" s="22" t="e">
        <f>IF($I$6="UL",VLOOKUP(I151,'3-SNR-Chan SE vs Range'!$Y$9:$Z$23,2),VLOOKUP(I151,$AH$9:$AI$23,2))</f>
        <v>#VALUE!</v>
      </c>
      <c r="K151" s="288" t="e">
        <f>SUM(J151:J$160)/$A151/((3*3^0.5/2)*H151^2)</f>
        <v>#VALUE!</v>
      </c>
      <c r="L151" s="201" t="e">
        <f t="shared" si="40"/>
        <v>#VALUE!</v>
      </c>
      <c r="M151" s="99" t="e">
        <f t="shared" si="41"/>
        <v>#VALUE!</v>
      </c>
      <c r="N151" s="22" t="e">
        <f t="shared" si="49"/>
        <v>#VALUE!</v>
      </c>
      <c r="O151" s="22" t="e">
        <f t="shared" si="50"/>
        <v>#VALUE!</v>
      </c>
      <c r="P151" s="22" t="e">
        <f>IF($I$6="UL",VLOOKUP(O151,'3-SNR-Chan SE vs Range'!$Y$9:$Z$23,2),VLOOKUP(O151,$AH$9:$AI$23,2))</f>
        <v>#VALUE!</v>
      </c>
      <c r="Q151" s="288" t="e">
        <f>SUM(P151:P$160)/$A151/((3*3^0.5/2)*N151^2)</f>
        <v>#VALUE!</v>
      </c>
      <c r="R151" s="201" t="e">
        <f t="shared" si="42"/>
        <v>#VALUE!</v>
      </c>
      <c r="S151" s="99" t="e">
        <f t="shared" si="43"/>
        <v>#VALUE!</v>
      </c>
    </row>
    <row r="152" spans="1:19">
      <c r="A152">
        <f t="shared" si="44"/>
        <v>9</v>
      </c>
      <c r="B152" s="22" t="e">
        <f t="shared" si="45"/>
        <v>#VALUE!</v>
      </c>
      <c r="C152" s="22" t="e">
        <f t="shared" si="46"/>
        <v>#VALUE!</v>
      </c>
      <c r="D152" s="22" t="e">
        <f>IF($I$6="UL",VLOOKUP(C152,'3-SNR-Chan SE vs Range'!$Y$9:$Z$23,2),VLOOKUP(C152,$AH$9:$AI$23,2))</f>
        <v>#VALUE!</v>
      </c>
      <c r="E152" s="288" t="e">
        <f>SUM(D152:D$160)/$A152/((3*3^0.5/2)*B152^2)</f>
        <v>#VALUE!</v>
      </c>
      <c r="F152" s="201" t="e">
        <f t="shared" si="38"/>
        <v>#VALUE!</v>
      </c>
      <c r="G152" s="99" t="e">
        <f t="shared" si="39"/>
        <v>#VALUE!</v>
      </c>
      <c r="H152" s="22" t="e">
        <f t="shared" si="47"/>
        <v>#VALUE!</v>
      </c>
      <c r="I152" s="22" t="e">
        <f t="shared" si="48"/>
        <v>#VALUE!</v>
      </c>
      <c r="J152" s="22" t="e">
        <f>IF($I$6="UL",VLOOKUP(I152,'3-SNR-Chan SE vs Range'!$Y$9:$Z$23,2),VLOOKUP(I152,$AH$9:$AI$23,2))</f>
        <v>#VALUE!</v>
      </c>
      <c r="K152" s="288" t="e">
        <f>SUM(J152:J$160)/$A152/((3*3^0.5/2)*H152^2)</f>
        <v>#VALUE!</v>
      </c>
      <c r="L152" s="201" t="e">
        <f t="shared" si="40"/>
        <v>#VALUE!</v>
      </c>
      <c r="M152" s="99" t="e">
        <f t="shared" si="41"/>
        <v>#VALUE!</v>
      </c>
      <c r="N152" s="22" t="e">
        <f t="shared" si="49"/>
        <v>#VALUE!</v>
      </c>
      <c r="O152" s="22" t="e">
        <f t="shared" si="50"/>
        <v>#VALUE!</v>
      </c>
      <c r="P152" s="22" t="e">
        <f>IF($I$6="UL",VLOOKUP(O152,'3-SNR-Chan SE vs Range'!$Y$9:$Z$23,2),VLOOKUP(O152,$AH$9:$AI$23,2))</f>
        <v>#VALUE!</v>
      </c>
      <c r="Q152" s="288" t="e">
        <f>SUM(P152:P$160)/$A152/((3*3^0.5/2)*N152^2)</f>
        <v>#VALUE!</v>
      </c>
      <c r="R152" s="201" t="e">
        <f t="shared" si="42"/>
        <v>#VALUE!</v>
      </c>
      <c r="S152" s="99" t="e">
        <f t="shared" si="43"/>
        <v>#VALUE!</v>
      </c>
    </row>
    <row r="153" spans="1:19">
      <c r="A153">
        <f t="shared" si="44"/>
        <v>8</v>
      </c>
      <c r="B153" s="22" t="e">
        <f t="shared" si="45"/>
        <v>#VALUE!</v>
      </c>
      <c r="C153" s="22" t="e">
        <f t="shared" si="46"/>
        <v>#VALUE!</v>
      </c>
      <c r="D153" s="22" t="e">
        <f>IF($I$6="UL",VLOOKUP(C153,'3-SNR-Chan SE vs Range'!$Y$9:$Z$23,2),VLOOKUP(C153,$AH$9:$AI$23,2))</f>
        <v>#VALUE!</v>
      </c>
      <c r="E153" s="288" t="e">
        <f>SUM(D153:D$160)/$A153/((3*3^0.5/2)*B153^2)</f>
        <v>#VALUE!</v>
      </c>
      <c r="F153" s="201" t="e">
        <f t="shared" si="38"/>
        <v>#VALUE!</v>
      </c>
      <c r="G153" s="99" t="e">
        <f t="shared" si="39"/>
        <v>#VALUE!</v>
      </c>
      <c r="H153" s="22" t="e">
        <f t="shared" si="47"/>
        <v>#VALUE!</v>
      </c>
      <c r="I153" s="22" t="e">
        <f t="shared" si="48"/>
        <v>#VALUE!</v>
      </c>
      <c r="J153" s="22" t="e">
        <f>IF($I$6="UL",VLOOKUP(I153,'3-SNR-Chan SE vs Range'!$Y$9:$Z$23,2),VLOOKUP(I153,$AH$9:$AI$23,2))</f>
        <v>#VALUE!</v>
      </c>
      <c r="K153" s="288" t="e">
        <f>SUM(J153:J$160)/$A153/((3*3^0.5/2)*H153^2)</f>
        <v>#VALUE!</v>
      </c>
      <c r="L153" s="201" t="e">
        <f t="shared" si="40"/>
        <v>#VALUE!</v>
      </c>
      <c r="M153" s="99" t="e">
        <f t="shared" si="41"/>
        <v>#VALUE!</v>
      </c>
      <c r="N153" s="22" t="e">
        <f t="shared" si="49"/>
        <v>#VALUE!</v>
      </c>
      <c r="O153" s="22" t="e">
        <f t="shared" si="50"/>
        <v>#VALUE!</v>
      </c>
      <c r="P153" s="22" t="e">
        <f>IF($I$6="UL",VLOOKUP(O153,'3-SNR-Chan SE vs Range'!$Y$9:$Z$23,2),VLOOKUP(O153,$AH$9:$AI$23,2))</f>
        <v>#VALUE!</v>
      </c>
      <c r="Q153" s="288" t="e">
        <f>SUM(P153:P$160)/$A153/((3*3^0.5/2)*N153^2)</f>
        <v>#VALUE!</v>
      </c>
      <c r="R153" s="201" t="e">
        <f t="shared" si="42"/>
        <v>#VALUE!</v>
      </c>
      <c r="S153" s="99" t="e">
        <f t="shared" si="43"/>
        <v>#VALUE!</v>
      </c>
    </row>
    <row r="154" spans="1:19">
      <c r="A154">
        <f t="shared" si="44"/>
        <v>7</v>
      </c>
      <c r="B154" s="22" t="e">
        <f t="shared" si="45"/>
        <v>#VALUE!</v>
      </c>
      <c r="C154" s="22" t="e">
        <f t="shared" si="46"/>
        <v>#VALUE!</v>
      </c>
      <c r="D154" s="22" t="e">
        <f>IF($I$6="UL",VLOOKUP(C154,'3-SNR-Chan SE vs Range'!$Y$9:$Z$23,2),VLOOKUP(C154,$AH$9:$AI$23,2))</f>
        <v>#VALUE!</v>
      </c>
      <c r="E154" s="288" t="e">
        <f>SUM(D154:D$160)/$A154/((3*3^0.5/2)*B154^2)</f>
        <v>#VALUE!</v>
      </c>
      <c r="F154" s="201" t="e">
        <f t="shared" si="38"/>
        <v>#VALUE!</v>
      </c>
      <c r="G154" s="99" t="e">
        <f t="shared" si="39"/>
        <v>#VALUE!</v>
      </c>
      <c r="H154" s="22" t="e">
        <f t="shared" si="47"/>
        <v>#VALUE!</v>
      </c>
      <c r="I154" s="22" t="e">
        <f t="shared" si="48"/>
        <v>#VALUE!</v>
      </c>
      <c r="J154" s="22" t="e">
        <f>IF($I$6="UL",VLOOKUP(I154,'3-SNR-Chan SE vs Range'!$Y$9:$Z$23,2),VLOOKUP(I154,$AH$9:$AI$23,2))</f>
        <v>#VALUE!</v>
      </c>
      <c r="K154" s="288" t="e">
        <f>SUM(J154:J$160)/$A154/((3*3^0.5/2)*H154^2)</f>
        <v>#VALUE!</v>
      </c>
      <c r="L154" s="201" t="e">
        <f t="shared" si="40"/>
        <v>#VALUE!</v>
      </c>
      <c r="M154" s="99" t="e">
        <f t="shared" si="41"/>
        <v>#VALUE!</v>
      </c>
      <c r="N154" s="22" t="e">
        <f t="shared" si="49"/>
        <v>#VALUE!</v>
      </c>
      <c r="O154" s="22" t="e">
        <f t="shared" si="50"/>
        <v>#VALUE!</v>
      </c>
      <c r="P154" s="22" t="e">
        <f>IF($I$6="UL",VLOOKUP(O154,'3-SNR-Chan SE vs Range'!$Y$9:$Z$23,2),VLOOKUP(O154,$AH$9:$AI$23,2))</f>
        <v>#VALUE!</v>
      </c>
      <c r="Q154" s="288" t="e">
        <f>SUM(P154:P$160)/$A154/((3*3^0.5/2)*N154^2)</f>
        <v>#VALUE!</v>
      </c>
      <c r="R154" s="201" t="e">
        <f t="shared" si="42"/>
        <v>#VALUE!</v>
      </c>
      <c r="S154" s="99" t="e">
        <f t="shared" si="43"/>
        <v>#VALUE!</v>
      </c>
    </row>
    <row r="155" spans="1:19">
      <c r="A155">
        <f t="shared" si="44"/>
        <v>6</v>
      </c>
      <c r="B155" s="22" t="e">
        <f t="shared" si="45"/>
        <v>#VALUE!</v>
      </c>
      <c r="C155" s="22" t="e">
        <f t="shared" si="46"/>
        <v>#VALUE!</v>
      </c>
      <c r="D155" s="22" t="e">
        <f>IF($I$6="UL",VLOOKUP(C155,'3-SNR-Chan SE vs Range'!$Y$9:$Z$23,2),VLOOKUP(C155,$AH$9:$AI$23,2))</f>
        <v>#VALUE!</v>
      </c>
      <c r="E155" s="288" t="e">
        <f>SUM(D155:D$160)/$A155/((3*3^0.5/2)*B155^2)</f>
        <v>#VALUE!</v>
      </c>
      <c r="F155" s="201" t="e">
        <f t="shared" si="38"/>
        <v>#VALUE!</v>
      </c>
      <c r="G155" s="99" t="e">
        <f t="shared" si="39"/>
        <v>#VALUE!</v>
      </c>
      <c r="H155" s="22" t="e">
        <f t="shared" si="47"/>
        <v>#VALUE!</v>
      </c>
      <c r="I155" s="22" t="e">
        <f t="shared" si="48"/>
        <v>#VALUE!</v>
      </c>
      <c r="J155" s="22" t="e">
        <f>IF($I$6="UL",VLOOKUP(I155,'3-SNR-Chan SE vs Range'!$Y$9:$Z$23,2),VLOOKUP(I155,$AH$9:$AI$23,2))</f>
        <v>#VALUE!</v>
      </c>
      <c r="K155" s="288" t="e">
        <f>SUM(J155:J$160)/$A155/((3*3^0.5/2)*H155^2)</f>
        <v>#VALUE!</v>
      </c>
      <c r="L155" s="201" t="e">
        <f t="shared" si="40"/>
        <v>#VALUE!</v>
      </c>
      <c r="M155" s="99" t="e">
        <f t="shared" si="41"/>
        <v>#VALUE!</v>
      </c>
      <c r="N155" s="22" t="e">
        <f t="shared" si="49"/>
        <v>#VALUE!</v>
      </c>
      <c r="O155" s="22" t="e">
        <f t="shared" si="50"/>
        <v>#VALUE!</v>
      </c>
      <c r="P155" s="22" t="e">
        <f>IF($I$6="UL",VLOOKUP(O155,'3-SNR-Chan SE vs Range'!$Y$9:$Z$23,2),VLOOKUP(O155,$AH$9:$AI$23,2))</f>
        <v>#VALUE!</v>
      </c>
      <c r="Q155" s="288" t="e">
        <f>SUM(P155:P$160)/$A155/((3*3^0.5/2)*N155^2)</f>
        <v>#VALUE!</v>
      </c>
      <c r="R155" s="201" t="e">
        <f t="shared" si="42"/>
        <v>#VALUE!</v>
      </c>
      <c r="S155" s="99" t="e">
        <f t="shared" si="43"/>
        <v>#VALUE!</v>
      </c>
    </row>
    <row r="156" spans="1:19">
      <c r="A156">
        <f t="shared" si="44"/>
        <v>5</v>
      </c>
      <c r="B156" s="22" t="e">
        <f t="shared" si="45"/>
        <v>#VALUE!</v>
      </c>
      <c r="C156" s="22" t="e">
        <f t="shared" si="46"/>
        <v>#VALUE!</v>
      </c>
      <c r="D156" s="22" t="e">
        <f>IF($I$6="UL",VLOOKUP(C156,'3-SNR-Chan SE vs Range'!$Y$9:$Z$23,2),VLOOKUP(C156,$AH$9:$AI$23,2))</f>
        <v>#VALUE!</v>
      </c>
      <c r="E156" s="288" t="e">
        <f>SUM(D156:D$160)/$A156/((3*3^0.5/2)*B156^2)</f>
        <v>#VALUE!</v>
      </c>
      <c r="F156" s="201" t="e">
        <f t="shared" si="38"/>
        <v>#VALUE!</v>
      </c>
      <c r="G156" s="99" t="e">
        <f t="shared" si="39"/>
        <v>#VALUE!</v>
      </c>
      <c r="H156" s="22" t="e">
        <f t="shared" si="47"/>
        <v>#VALUE!</v>
      </c>
      <c r="I156" s="22" t="e">
        <f t="shared" si="48"/>
        <v>#VALUE!</v>
      </c>
      <c r="J156" s="22" t="e">
        <f>IF($I$6="UL",VLOOKUP(I156,'3-SNR-Chan SE vs Range'!$Y$9:$Z$23,2),VLOOKUP(I156,$AH$9:$AI$23,2))</f>
        <v>#VALUE!</v>
      </c>
      <c r="K156" s="288" t="e">
        <f>SUM(J156:J$160)/$A156/((3*3^0.5/2)*H156^2)</f>
        <v>#VALUE!</v>
      </c>
      <c r="L156" s="201" t="e">
        <f t="shared" si="40"/>
        <v>#VALUE!</v>
      </c>
      <c r="M156" s="99" t="e">
        <f t="shared" si="41"/>
        <v>#VALUE!</v>
      </c>
      <c r="N156" s="22" t="e">
        <f t="shared" si="49"/>
        <v>#VALUE!</v>
      </c>
      <c r="O156" s="22" t="e">
        <f t="shared" si="50"/>
        <v>#VALUE!</v>
      </c>
      <c r="P156" s="22" t="e">
        <f>IF($I$6="UL",VLOOKUP(O156,'3-SNR-Chan SE vs Range'!$Y$9:$Z$23,2),VLOOKUP(O156,$AH$9:$AI$23,2))</f>
        <v>#VALUE!</v>
      </c>
      <c r="Q156" s="288" t="e">
        <f>SUM(P156:P$160)/$A156/((3*3^0.5/2)*N156^2)</f>
        <v>#VALUE!</v>
      </c>
      <c r="R156" s="201" t="e">
        <f t="shared" si="42"/>
        <v>#VALUE!</v>
      </c>
      <c r="S156" s="99" t="e">
        <f t="shared" si="43"/>
        <v>#VALUE!</v>
      </c>
    </row>
    <row r="157" spans="1:19">
      <c r="A157">
        <f t="shared" si="44"/>
        <v>4</v>
      </c>
      <c r="B157" s="22" t="e">
        <f t="shared" si="45"/>
        <v>#VALUE!</v>
      </c>
      <c r="C157" s="22" t="e">
        <f t="shared" si="46"/>
        <v>#VALUE!</v>
      </c>
      <c r="D157" s="22" t="e">
        <f>IF($I$6="UL",VLOOKUP(C157,'3-SNR-Chan SE vs Range'!$Y$9:$Z$23,2),VLOOKUP(C157,$AH$9:$AI$23,2))</f>
        <v>#VALUE!</v>
      </c>
      <c r="E157" s="288" t="e">
        <f>SUM(D157:D$160)/$A157/((3*3^0.5/2)*B157^2)</f>
        <v>#VALUE!</v>
      </c>
      <c r="F157" s="201" t="e">
        <f t="shared" si="38"/>
        <v>#VALUE!</v>
      </c>
      <c r="G157" s="99" t="e">
        <f t="shared" si="39"/>
        <v>#VALUE!</v>
      </c>
      <c r="H157" s="22" t="e">
        <f t="shared" si="47"/>
        <v>#VALUE!</v>
      </c>
      <c r="I157" s="22" t="e">
        <f t="shared" si="48"/>
        <v>#VALUE!</v>
      </c>
      <c r="J157" s="22" t="e">
        <f>IF($I$6="UL",VLOOKUP(I157,'3-SNR-Chan SE vs Range'!$Y$9:$Z$23,2),VLOOKUP(I157,$AH$9:$AI$23,2))</f>
        <v>#VALUE!</v>
      </c>
      <c r="K157" s="288" t="e">
        <f>SUM(J157:J$160)/$A157/((3*3^0.5/2)*H157^2)</f>
        <v>#VALUE!</v>
      </c>
      <c r="L157" s="201" t="e">
        <f t="shared" si="40"/>
        <v>#VALUE!</v>
      </c>
      <c r="M157" s="99" t="e">
        <f t="shared" si="41"/>
        <v>#VALUE!</v>
      </c>
      <c r="N157" s="22" t="e">
        <f t="shared" si="49"/>
        <v>#VALUE!</v>
      </c>
      <c r="O157" s="22" t="e">
        <f t="shared" si="50"/>
        <v>#VALUE!</v>
      </c>
      <c r="P157" s="22" t="e">
        <f>IF($I$6="UL",VLOOKUP(O157,'3-SNR-Chan SE vs Range'!$Y$9:$Z$23,2),VLOOKUP(O157,$AH$9:$AI$23,2))</f>
        <v>#VALUE!</v>
      </c>
      <c r="Q157" s="288" t="e">
        <f>SUM(P157:P$160)/$A157/((3*3^0.5/2)*N157^2)</f>
        <v>#VALUE!</v>
      </c>
      <c r="R157" s="201" t="e">
        <f t="shared" si="42"/>
        <v>#VALUE!</v>
      </c>
      <c r="S157" s="99" t="e">
        <f t="shared" si="43"/>
        <v>#VALUE!</v>
      </c>
    </row>
    <row r="158" spans="1:19">
      <c r="A158">
        <f t="shared" si="44"/>
        <v>3</v>
      </c>
      <c r="B158" s="22" t="e">
        <f t="shared" si="45"/>
        <v>#VALUE!</v>
      </c>
      <c r="C158" s="22" t="e">
        <f t="shared" si="46"/>
        <v>#VALUE!</v>
      </c>
      <c r="D158" s="22" t="e">
        <f>IF($I$6="UL",VLOOKUP(C158,'3-SNR-Chan SE vs Range'!$Y$9:$Z$23,2),VLOOKUP(C158,$AH$9:$AI$23,2))</f>
        <v>#VALUE!</v>
      </c>
      <c r="E158" s="288" t="e">
        <f>SUM(D158:D$160)/$A158/((3*3^0.5/2)*B158^2)</f>
        <v>#VALUE!</v>
      </c>
      <c r="F158" s="201" t="e">
        <f t="shared" si="38"/>
        <v>#VALUE!</v>
      </c>
      <c r="G158" s="99" t="e">
        <f t="shared" si="39"/>
        <v>#VALUE!</v>
      </c>
      <c r="H158" s="22" t="e">
        <f t="shared" si="47"/>
        <v>#VALUE!</v>
      </c>
      <c r="I158" s="22" t="e">
        <f t="shared" si="48"/>
        <v>#VALUE!</v>
      </c>
      <c r="J158" s="22" t="e">
        <f>IF($I$6="UL",VLOOKUP(I158,'3-SNR-Chan SE vs Range'!$Y$9:$Z$23,2),VLOOKUP(I158,$AH$9:$AI$23,2))</f>
        <v>#VALUE!</v>
      </c>
      <c r="K158" s="288" t="e">
        <f>SUM(J158:J$160)/$A158/((3*3^0.5/2)*H158^2)</f>
        <v>#VALUE!</v>
      </c>
      <c r="L158" s="201" t="e">
        <f t="shared" si="40"/>
        <v>#VALUE!</v>
      </c>
      <c r="M158" s="99" t="e">
        <f t="shared" si="41"/>
        <v>#VALUE!</v>
      </c>
      <c r="N158" s="22" t="e">
        <f t="shared" si="49"/>
        <v>#VALUE!</v>
      </c>
      <c r="O158" s="22" t="e">
        <f t="shared" si="50"/>
        <v>#VALUE!</v>
      </c>
      <c r="P158" s="22" t="e">
        <f>IF($I$6="UL",VLOOKUP(O158,'3-SNR-Chan SE vs Range'!$Y$9:$Z$23,2),VLOOKUP(O158,$AH$9:$AI$23,2))</f>
        <v>#VALUE!</v>
      </c>
      <c r="Q158" s="288" t="e">
        <f>SUM(P158:P$160)/$A158/((3*3^0.5/2)*N158^2)</f>
        <v>#VALUE!</v>
      </c>
      <c r="R158" s="201" t="e">
        <f t="shared" si="42"/>
        <v>#VALUE!</v>
      </c>
      <c r="S158" s="99" t="e">
        <f t="shared" si="43"/>
        <v>#VALUE!</v>
      </c>
    </row>
    <row r="159" spans="1:19">
      <c r="A159">
        <f t="shared" si="44"/>
        <v>2</v>
      </c>
      <c r="B159" s="22" t="e">
        <f t="shared" si="45"/>
        <v>#VALUE!</v>
      </c>
      <c r="C159" s="22" t="e">
        <f t="shared" si="46"/>
        <v>#VALUE!</v>
      </c>
      <c r="D159" s="22" t="e">
        <f>IF($I$6="UL",VLOOKUP(C159,'3-SNR-Chan SE vs Range'!$Y$9:$Z$23,2),VLOOKUP(C159,$AH$9:$AI$23,2))</f>
        <v>#VALUE!</v>
      </c>
      <c r="E159" s="288" t="e">
        <f>SUM(D159:D$160)/$A159/((3*3^0.5/2)*B159^2)</f>
        <v>#VALUE!</v>
      </c>
      <c r="F159" s="201" t="e">
        <f t="shared" si="38"/>
        <v>#VALUE!</v>
      </c>
      <c r="G159" s="99" t="e">
        <f t="shared" si="39"/>
        <v>#VALUE!</v>
      </c>
      <c r="H159" s="22" t="e">
        <f t="shared" si="47"/>
        <v>#VALUE!</v>
      </c>
      <c r="I159" s="22" t="e">
        <f t="shared" si="48"/>
        <v>#VALUE!</v>
      </c>
      <c r="J159" s="22" t="e">
        <f>IF($I$6="UL",VLOOKUP(I159,'3-SNR-Chan SE vs Range'!$Y$9:$Z$23,2),VLOOKUP(I159,$AH$9:$AI$23,2))</f>
        <v>#VALUE!</v>
      </c>
      <c r="K159" s="288" t="e">
        <f>SUM(J159:J$160)/$A159/((3*3^0.5/2)*H159^2)</f>
        <v>#VALUE!</v>
      </c>
      <c r="L159" s="201" t="e">
        <f t="shared" si="40"/>
        <v>#VALUE!</v>
      </c>
      <c r="M159" s="99" t="e">
        <f t="shared" si="41"/>
        <v>#VALUE!</v>
      </c>
      <c r="N159" s="22" t="e">
        <f t="shared" si="49"/>
        <v>#VALUE!</v>
      </c>
      <c r="O159" s="22" t="e">
        <f t="shared" si="50"/>
        <v>#VALUE!</v>
      </c>
      <c r="P159" s="22" t="e">
        <f>IF($I$6="UL",VLOOKUP(O159,'3-SNR-Chan SE vs Range'!$Y$9:$Z$23,2),VLOOKUP(O159,$AH$9:$AI$23,2))</f>
        <v>#VALUE!</v>
      </c>
      <c r="Q159" s="288" t="e">
        <f>SUM(P159:P$160)/$A159/((3*3^0.5/2)*N159^2)</f>
        <v>#VALUE!</v>
      </c>
      <c r="R159" s="201" t="e">
        <f t="shared" si="42"/>
        <v>#VALUE!</v>
      </c>
      <c r="S159" s="99" t="e">
        <f t="shared" si="43"/>
        <v>#VALUE!</v>
      </c>
    </row>
    <row r="160" spans="1:19">
      <c r="A160">
        <f t="shared" si="44"/>
        <v>1</v>
      </c>
      <c r="B160" s="22" t="e">
        <f t="shared" si="45"/>
        <v>#VALUE!</v>
      </c>
      <c r="C160" s="22" t="e">
        <f t="shared" si="46"/>
        <v>#VALUE!</v>
      </c>
      <c r="D160" s="22" t="e">
        <f>IF($I$6="UL",VLOOKUP(C160,'3-SNR-Chan SE vs Range'!$Y$9:$Z$23,2),VLOOKUP(C160,$AH$9:$AI$23,2))</f>
        <v>#VALUE!</v>
      </c>
      <c r="E160" s="288" t="e">
        <f>SUM(D160:D$160)/$A160/((3*3^0.5/2)*B160^2)</f>
        <v>#VALUE!</v>
      </c>
      <c r="F160" s="201" t="e">
        <f t="shared" si="38"/>
        <v>#VALUE!</v>
      </c>
      <c r="G160" s="99" t="e">
        <f t="shared" si="39"/>
        <v>#VALUE!</v>
      </c>
      <c r="H160" s="22" t="e">
        <f t="shared" si="47"/>
        <v>#VALUE!</v>
      </c>
      <c r="I160" s="22" t="e">
        <f t="shared" si="48"/>
        <v>#VALUE!</v>
      </c>
      <c r="J160" s="22" t="e">
        <f>IF($I$6="UL",VLOOKUP(I160,'3-SNR-Chan SE vs Range'!$Y$9:$Z$23,2),VLOOKUP(I160,$AH$9:$AI$23,2))</f>
        <v>#VALUE!</v>
      </c>
      <c r="K160" s="288" t="e">
        <f>SUM(J160:J$160)/$A160/((3*3^0.5/2)*H160^2)</f>
        <v>#VALUE!</v>
      </c>
      <c r="L160" s="201" t="e">
        <f t="shared" si="40"/>
        <v>#VALUE!</v>
      </c>
      <c r="M160" s="99" t="e">
        <f t="shared" si="41"/>
        <v>#VALUE!</v>
      </c>
      <c r="N160" s="22" t="e">
        <f t="shared" si="49"/>
        <v>#VALUE!</v>
      </c>
      <c r="O160" s="22" t="e">
        <f t="shared" si="50"/>
        <v>#VALUE!</v>
      </c>
      <c r="P160" s="22" t="e">
        <f>IF($I$6="UL",VLOOKUP(O160,'3-SNR-Chan SE vs Range'!$Y$9:$Z$23,2),VLOOKUP(O160,$AH$9:$AI$23,2))</f>
        <v>#VALUE!</v>
      </c>
      <c r="Q160" s="288" t="e">
        <f>SUM(P160:P$160)/$A160/((3*3^0.5/2)*N160^2)</f>
        <v>#VALUE!</v>
      </c>
      <c r="R160" s="201" t="e">
        <f t="shared" si="42"/>
        <v>#VALUE!</v>
      </c>
      <c r="S160" s="99" t="e">
        <f t="shared" si="43"/>
        <v>#VALUE!</v>
      </c>
    </row>
    <row r="161" spans="1:25">
      <c r="A161">
        <f t="shared" si="44"/>
        <v>0</v>
      </c>
      <c r="B161" s="15">
        <v>0.05</v>
      </c>
      <c r="C161" s="22" t="e">
        <f t="shared" si="46"/>
        <v>#VALUE!</v>
      </c>
      <c r="D161" s="22" t="e">
        <f>IF($I$6="UL",VLOOKUP(C161,'3-SNR-Chan SE vs Range'!$Y$9:$Z$23,2),VLOOKUP(C161,$AH$9:$AI$23,2))</f>
        <v>#VALUE!</v>
      </c>
      <c r="E161" s="201"/>
      <c r="F161" s="201">
        <f t="shared" si="38"/>
        <v>0.05</v>
      </c>
      <c r="G161" s="99" t="e">
        <f t="shared" si="39"/>
        <v>#VALUE!</v>
      </c>
      <c r="H161" s="15">
        <f>B161</f>
        <v>0.05</v>
      </c>
      <c r="I161" s="22" t="e">
        <f t="shared" si="48"/>
        <v>#VALUE!</v>
      </c>
      <c r="J161" s="22" t="e">
        <f>IF($I$6="UL",VLOOKUP(I161,'3-SNR-Chan SE vs Range'!$Y$9:$Z$23,2),VLOOKUP(I161,$AH$9:$AI$23,2))</f>
        <v>#VALUE!</v>
      </c>
      <c r="K161" s="288"/>
      <c r="L161" s="201">
        <f t="shared" si="40"/>
        <v>0.05</v>
      </c>
      <c r="M161" s="99" t="e">
        <f t="shared" si="41"/>
        <v>#VALUE!</v>
      </c>
      <c r="N161" s="15">
        <f>H161</f>
        <v>0.05</v>
      </c>
      <c r="O161" s="22" t="e">
        <f t="shared" si="50"/>
        <v>#VALUE!</v>
      </c>
      <c r="P161" s="22" t="e">
        <f>IF($I$6="UL",VLOOKUP(O161,'3-SNR-Chan SE vs Range'!$Y$9:$Z$23,2),VLOOKUP(O161,$AH$9:$AI$23,2))</f>
        <v>#VALUE!</v>
      </c>
      <c r="Q161" s="288"/>
      <c r="R161" s="201">
        <f t="shared" si="42"/>
        <v>0.05</v>
      </c>
      <c r="S161" s="99" t="e">
        <f t="shared" si="43"/>
        <v>#VALUE!</v>
      </c>
    </row>
    <row r="164" spans="1:25" ht="30">
      <c r="A164" s="126" t="s">
        <v>98</v>
      </c>
      <c r="B164" s="3" t="s">
        <v>60</v>
      </c>
      <c r="C164" s="133" t="str">
        <f>B42</f>
        <v>n/a</v>
      </c>
      <c r="D164" s="128" t="s">
        <v>114</v>
      </c>
      <c r="E164" s="134"/>
      <c r="F164" s="134"/>
      <c r="G164" s="134"/>
      <c r="H164" s="3" t="s">
        <v>59</v>
      </c>
      <c r="I164" s="133" t="str">
        <f>C42</f>
        <v>n/a</v>
      </c>
      <c r="J164" s="128" t="s">
        <v>114</v>
      </c>
      <c r="K164" s="134"/>
      <c r="L164" s="134"/>
      <c r="M164" s="134"/>
      <c r="N164" s="63" t="s">
        <v>36</v>
      </c>
      <c r="O164" s="133" t="str">
        <f>D42</f>
        <v>n/a</v>
      </c>
      <c r="P164" s="128" t="s">
        <v>114</v>
      </c>
      <c r="Q164" s="134"/>
      <c r="R164" s="134"/>
      <c r="S164" s="135"/>
      <c r="T164" s="63" t="s">
        <v>75</v>
      </c>
      <c r="U164" s="133" t="str">
        <f>E42</f>
        <v>n/a</v>
      </c>
      <c r="V164" s="128" t="s">
        <v>114</v>
      </c>
      <c r="W164" s="134"/>
      <c r="X164" s="134"/>
      <c r="Y164" s="135"/>
    </row>
    <row r="165" spans="1:25" ht="60">
      <c r="B165" s="3" t="s">
        <v>95</v>
      </c>
      <c r="C165" s="3" t="s">
        <v>96</v>
      </c>
      <c r="D165" s="737" t="str">
        <f>IF($I$6="UL","UL SE (bps/Hz)","DL SE (bps/Hz)")</f>
        <v>UL SE (bps/Hz)</v>
      </c>
      <c r="E165" s="737" t="s">
        <v>577</v>
      </c>
      <c r="F165" s="286" t="s">
        <v>95</v>
      </c>
      <c r="G165" s="3" t="s">
        <v>97</v>
      </c>
      <c r="H165" s="3" t="s">
        <v>95</v>
      </c>
      <c r="I165" s="3" t="s">
        <v>96</v>
      </c>
      <c r="J165" s="737" t="str">
        <f>IF($I$6="UL","UL SE (bps/Hz)","DL SE (bps/Hz)")</f>
        <v>UL SE (bps/Hz)</v>
      </c>
      <c r="K165" s="737" t="s">
        <v>577</v>
      </c>
      <c r="L165" s="286" t="s">
        <v>95</v>
      </c>
      <c r="M165" s="3" t="s">
        <v>97</v>
      </c>
      <c r="N165" s="3" t="s">
        <v>95</v>
      </c>
      <c r="O165" s="3" t="s">
        <v>96</v>
      </c>
      <c r="P165" s="737" t="str">
        <f>IF($I$6="UL","UL SE (bps/Hz)","DL SE (bps/Hz)")</f>
        <v>UL SE (bps/Hz)</v>
      </c>
      <c r="Q165" s="737" t="s">
        <v>577</v>
      </c>
      <c r="R165" s="286" t="s">
        <v>95</v>
      </c>
      <c r="S165" s="3" t="s">
        <v>97</v>
      </c>
      <c r="T165" s="3" t="s">
        <v>95</v>
      </c>
      <c r="U165" s="3" t="s">
        <v>96</v>
      </c>
      <c r="V165" s="737" t="str">
        <f>IF($I$6="UL","UL SE (bps/Hz)","DL SE (bps/Hz)")</f>
        <v>UL SE (bps/Hz)</v>
      </c>
      <c r="W165" s="737" t="s">
        <v>577</v>
      </c>
      <c r="X165" s="286" t="s">
        <v>95</v>
      </c>
      <c r="Y165" s="3" t="s">
        <v>97</v>
      </c>
    </row>
    <row r="166" spans="1:25">
      <c r="A166">
        <v>25</v>
      </c>
      <c r="B166" s="22" t="str">
        <f>B17</f>
        <v>n/a</v>
      </c>
      <c r="C166" s="22">
        <f>B5</f>
        <v>5.7</v>
      </c>
      <c r="D166" s="22">
        <f>IF($I$6="UL",VLOOKUP(C166,'3-SNR-Chan SE vs Range'!$Y$9:$Z$23,2),VLOOKUP(C166,$AH$9:$AI$23,2))</f>
        <v>0.16666666666666666</v>
      </c>
      <c r="E166" s="288" t="e">
        <f>SUM(D166:D$190)/$A166/((3*3^0.5/2)*B166^2)</f>
        <v>#VALUE!</v>
      </c>
      <c r="F166" s="201" t="str">
        <f>B166</f>
        <v>n/a</v>
      </c>
      <c r="G166" s="99" t="e">
        <f>B166^2/B$166^2</f>
        <v>#VALUE!</v>
      </c>
      <c r="H166" s="22" t="str">
        <f>C17</f>
        <v>n/a</v>
      </c>
      <c r="I166" s="22">
        <f>B5</f>
        <v>5.7</v>
      </c>
      <c r="J166" s="22">
        <f>IF($I$6="UL",VLOOKUP(I166,'3-SNR-Chan SE vs Range'!$Y$9:$Z$23,2),VLOOKUP(I166,$AH$9:$AI$23,2))</f>
        <v>0.16666666666666666</v>
      </c>
      <c r="K166" s="288" t="e">
        <f>SUM(J166:J$190)/$A166/((3*3^0.5/2)*H166^2)</f>
        <v>#VALUE!</v>
      </c>
      <c r="L166" s="201" t="str">
        <f>H166</f>
        <v>n/a</v>
      </c>
      <c r="M166" s="99" t="e">
        <f>H166^2/H$166^2</f>
        <v>#VALUE!</v>
      </c>
      <c r="N166" s="22" t="str">
        <f>D17</f>
        <v>n/a</v>
      </c>
      <c r="O166" s="22">
        <f>B5</f>
        <v>5.7</v>
      </c>
      <c r="P166" s="22">
        <f>IF($I$6="UL",VLOOKUP(O166,'3-SNR-Chan SE vs Range'!$Y$9:$Z$23,2),VLOOKUP(O166,$AH$9:$AI$23,2))</f>
        <v>0.16666666666666666</v>
      </c>
      <c r="Q166" s="288" t="e">
        <f>SUM(P166:P$190)/$A166/((3*3^0.5/2)*N166^2)</f>
        <v>#VALUE!</v>
      </c>
      <c r="R166" s="201" t="str">
        <f>N166</f>
        <v>n/a</v>
      </c>
      <c r="S166" s="99" t="e">
        <f>N166^2/N$166^2</f>
        <v>#VALUE!</v>
      </c>
      <c r="T166" s="22" t="str">
        <f>E17</f>
        <v>n/a</v>
      </c>
      <c r="U166" s="22">
        <f>B5</f>
        <v>5.7</v>
      </c>
      <c r="V166" s="22">
        <f>VLOOKUP(U166,'3-SNR-Chan SE vs Range'!$Y$9:$Z$23,2)</f>
        <v>0.16666666666666666</v>
      </c>
      <c r="W166" s="288" t="e">
        <f>SUM(V166:V$190)/$A166/((3*3^0.5/2)*T166^2)</f>
        <v>#VALUE!</v>
      </c>
      <c r="X166" s="201" t="str">
        <f>T166</f>
        <v>n/a</v>
      </c>
      <c r="Y166" s="99" t="e">
        <f>T166^2/T$166^2</f>
        <v>#VALUE!</v>
      </c>
    </row>
    <row r="167" spans="1:25">
      <c r="A167">
        <f>A166-1</f>
        <v>24</v>
      </c>
      <c r="B167" s="22" t="e">
        <f>(B166^2-(B$166^2-B$191^2)/25)^0.5</f>
        <v>#VALUE!</v>
      </c>
      <c r="C167" s="22" t="e">
        <f>C$166+C$164*LOG10(B$166/B167)</f>
        <v>#VALUE!</v>
      </c>
      <c r="D167" s="22" t="e">
        <f>IF($I$6="UL",VLOOKUP(C167,'3-SNR-Chan SE vs Range'!$Y$9:$Z$23,2),VLOOKUP(C167,$AH$9:$AI$23,2))</f>
        <v>#VALUE!</v>
      </c>
      <c r="E167" s="288" t="e">
        <f>SUM(D167:D$190)/$A167/((3*3^0.5/2)*B167^2)</f>
        <v>#VALUE!</v>
      </c>
      <c r="F167" s="201" t="e">
        <f t="shared" ref="F167:F191" si="51">B167</f>
        <v>#VALUE!</v>
      </c>
      <c r="G167" s="99" t="e">
        <f t="shared" ref="G167:G190" si="52">B167^2/B$166^2</f>
        <v>#VALUE!</v>
      </c>
      <c r="H167" s="22" t="e">
        <f>(H166^2-(H$166^2-H$131^2)/25)^0.5</f>
        <v>#VALUE!</v>
      </c>
      <c r="I167" s="22" t="e">
        <f>I$166+I$164*LOG10(H$166/H167)</f>
        <v>#VALUE!</v>
      </c>
      <c r="J167" s="22" t="e">
        <f>IF($I$6="UL",VLOOKUP(I167,'3-SNR-Chan SE vs Range'!$Y$9:$Z$23,2),VLOOKUP(I167,$AH$9:$AI$23,2))</f>
        <v>#VALUE!</v>
      </c>
      <c r="K167" s="288" t="e">
        <f>SUM(J167:J$190)/$A167/((3*3^0.5/2)*H167^2)</f>
        <v>#VALUE!</v>
      </c>
      <c r="L167" s="201" t="e">
        <f t="shared" ref="L167:L191" si="53">H167</f>
        <v>#VALUE!</v>
      </c>
      <c r="M167" s="99" t="e">
        <f t="shared" ref="M167:M190" si="54">H167^2/H$166^2</f>
        <v>#VALUE!</v>
      </c>
      <c r="N167" s="22" t="e">
        <f>(N166^2-(N$166^2-N$131^2)/25)^0.5</f>
        <v>#VALUE!</v>
      </c>
      <c r="O167" s="22" t="e">
        <f>O$166+O$164*LOG10(N$166/N167)</f>
        <v>#VALUE!</v>
      </c>
      <c r="P167" s="22" t="e">
        <f>IF($I$6="UL",VLOOKUP(O167,'3-SNR-Chan SE vs Range'!$Y$9:$Z$23,2),VLOOKUP(O167,$AH$9:$AI$23,2))</f>
        <v>#VALUE!</v>
      </c>
      <c r="Q167" s="288" t="e">
        <f>SUM(P167:P$190)/$A167/((3*3^0.5/2)*N167^2)</f>
        <v>#VALUE!</v>
      </c>
      <c r="R167" s="201" t="e">
        <f t="shared" ref="R167:R191" si="55">N167</f>
        <v>#VALUE!</v>
      </c>
      <c r="S167" s="99" t="e">
        <f t="shared" ref="S167:S190" si="56">N167^2/N$166^2</f>
        <v>#VALUE!</v>
      </c>
      <c r="T167" s="22" t="e">
        <f>(T166^2-(T$166^2-T$131^2)/25)^0.5</f>
        <v>#VALUE!</v>
      </c>
      <c r="U167" s="22" t="e">
        <f>U$166+U$164*LOG10(T$166/T167)</f>
        <v>#VALUE!</v>
      </c>
      <c r="V167" s="22" t="e">
        <f>VLOOKUP(U167,'3-SNR-Chan SE vs Range'!$Y$9:$Z$23,2)</f>
        <v>#VALUE!</v>
      </c>
      <c r="W167" s="288" t="e">
        <f>SUM(V167:V$190)/$A167/((3*3^0.5/2)*T167^2)</f>
        <v>#VALUE!</v>
      </c>
      <c r="X167" s="201" t="e">
        <f t="shared" ref="X167:X191" si="57">T167</f>
        <v>#VALUE!</v>
      </c>
      <c r="Y167" s="99" t="e">
        <f t="shared" ref="Y167:Y190" si="58">T167^2/T$166^2</f>
        <v>#VALUE!</v>
      </c>
    </row>
    <row r="168" spans="1:25">
      <c r="A168">
        <f t="shared" ref="A168:A191" si="59">A167-1</f>
        <v>23</v>
      </c>
      <c r="B168" s="22" t="e">
        <f t="shared" ref="B168:B190" si="60">(B167^2-(B$166^2-B$191^2)/25)^0.5</f>
        <v>#VALUE!</v>
      </c>
      <c r="C168" s="22" t="e">
        <f t="shared" ref="C168:C191" si="61">C$166+C$164*LOG10(B$166/B168)</f>
        <v>#VALUE!</v>
      </c>
      <c r="D168" s="22" t="e">
        <f>IF($I$6="UL",VLOOKUP(C168,'3-SNR-Chan SE vs Range'!$Y$9:$Z$23,2),VLOOKUP(C168,$AH$9:$AI$23,2))</f>
        <v>#VALUE!</v>
      </c>
      <c r="E168" s="288" t="e">
        <f>SUM(D168:D$190)/$A168/((3*3^0.5/2)*B168^2)</f>
        <v>#VALUE!</v>
      </c>
      <c r="F168" s="201" t="e">
        <f t="shared" si="51"/>
        <v>#VALUE!</v>
      </c>
      <c r="G168" s="99" t="e">
        <f t="shared" si="52"/>
        <v>#VALUE!</v>
      </c>
      <c r="H168" s="22" t="e">
        <f t="shared" ref="H168:H190" si="62">(H167^2-(H$166^2-H$131^2)/25)^0.5</f>
        <v>#VALUE!</v>
      </c>
      <c r="I168" s="22" t="e">
        <f t="shared" ref="I168:I191" si="63">I$166+I$164*LOG10(H$166/H168)</f>
        <v>#VALUE!</v>
      </c>
      <c r="J168" s="22" t="e">
        <f>IF($I$6="UL",VLOOKUP(I168,'3-SNR-Chan SE vs Range'!$Y$9:$Z$23,2),VLOOKUP(I168,$AH$9:$AI$23,2))</f>
        <v>#VALUE!</v>
      </c>
      <c r="K168" s="288" t="e">
        <f>SUM(J168:J$190)/$A168/((3*3^0.5/2)*H168^2)</f>
        <v>#VALUE!</v>
      </c>
      <c r="L168" s="201" t="e">
        <f t="shared" si="53"/>
        <v>#VALUE!</v>
      </c>
      <c r="M168" s="99" t="e">
        <f t="shared" si="54"/>
        <v>#VALUE!</v>
      </c>
      <c r="N168" s="22" t="e">
        <f t="shared" ref="N168:N190" si="64">(N167^2-(N$166^2-N$131^2)/25)^0.5</f>
        <v>#VALUE!</v>
      </c>
      <c r="O168" s="22" t="e">
        <f t="shared" ref="O168:O191" si="65">O$166+O$164*LOG10(N$166/N168)</f>
        <v>#VALUE!</v>
      </c>
      <c r="P168" s="22" t="e">
        <f>IF($I$6="UL",VLOOKUP(O168,'3-SNR-Chan SE vs Range'!$Y$9:$Z$23,2),VLOOKUP(O168,$AH$9:$AI$23,2))</f>
        <v>#VALUE!</v>
      </c>
      <c r="Q168" s="288" t="e">
        <f>SUM(P168:P$190)/$A168/((3*3^0.5/2)*N168^2)</f>
        <v>#VALUE!</v>
      </c>
      <c r="R168" s="201" t="e">
        <f t="shared" si="55"/>
        <v>#VALUE!</v>
      </c>
      <c r="S168" s="99" t="e">
        <f t="shared" si="56"/>
        <v>#VALUE!</v>
      </c>
      <c r="T168" s="22" t="e">
        <f t="shared" ref="T168:T190" si="66">(T167^2-(T$166^2-T$131^2)/25)^0.5</f>
        <v>#VALUE!</v>
      </c>
      <c r="U168" s="22" t="e">
        <f t="shared" ref="U168:U191" si="67">U$166+U$164*LOG10(T$166/T168)</f>
        <v>#VALUE!</v>
      </c>
      <c r="V168" s="22" t="e">
        <f>VLOOKUP(U168,'3-SNR-Chan SE vs Range'!$Y$9:$Z$23,2)</f>
        <v>#VALUE!</v>
      </c>
      <c r="W168" s="288" t="e">
        <f>SUM(V168:V$190)/$A168/((3*3^0.5/2)*T168^2)</f>
        <v>#VALUE!</v>
      </c>
      <c r="X168" s="201" t="e">
        <f t="shared" si="57"/>
        <v>#VALUE!</v>
      </c>
      <c r="Y168" s="99" t="e">
        <f t="shared" si="58"/>
        <v>#VALUE!</v>
      </c>
    </row>
    <row r="169" spans="1:25">
      <c r="A169">
        <f t="shared" si="59"/>
        <v>22</v>
      </c>
      <c r="B169" s="22" t="e">
        <f t="shared" si="60"/>
        <v>#VALUE!</v>
      </c>
      <c r="C169" s="22" t="e">
        <f t="shared" si="61"/>
        <v>#VALUE!</v>
      </c>
      <c r="D169" s="22" t="e">
        <f>IF($I$6="UL",VLOOKUP(C169,'3-SNR-Chan SE vs Range'!$Y$9:$Z$23,2),VLOOKUP(C169,$AH$9:$AI$23,2))</f>
        <v>#VALUE!</v>
      </c>
      <c r="E169" s="288" t="e">
        <f>SUM(D169:D$190)/$A169/((3*3^0.5/2)*B169^2)</f>
        <v>#VALUE!</v>
      </c>
      <c r="F169" s="201" t="e">
        <f t="shared" si="51"/>
        <v>#VALUE!</v>
      </c>
      <c r="G169" s="99" t="e">
        <f t="shared" si="52"/>
        <v>#VALUE!</v>
      </c>
      <c r="H169" s="22" t="e">
        <f t="shared" si="62"/>
        <v>#VALUE!</v>
      </c>
      <c r="I169" s="22" t="e">
        <f t="shared" si="63"/>
        <v>#VALUE!</v>
      </c>
      <c r="J169" s="22" t="e">
        <f>IF($I$6="UL",VLOOKUP(I169,'3-SNR-Chan SE vs Range'!$Y$9:$Z$23,2),VLOOKUP(I169,$AH$9:$AI$23,2))</f>
        <v>#VALUE!</v>
      </c>
      <c r="K169" s="288" t="e">
        <f>SUM(J169:J$190)/$A169/((3*3^0.5/2)*H169^2)</f>
        <v>#VALUE!</v>
      </c>
      <c r="L169" s="201" t="e">
        <f t="shared" si="53"/>
        <v>#VALUE!</v>
      </c>
      <c r="M169" s="99" t="e">
        <f t="shared" si="54"/>
        <v>#VALUE!</v>
      </c>
      <c r="N169" s="22" t="e">
        <f t="shared" si="64"/>
        <v>#VALUE!</v>
      </c>
      <c r="O169" s="22" t="e">
        <f t="shared" si="65"/>
        <v>#VALUE!</v>
      </c>
      <c r="P169" s="22" t="e">
        <f>IF($I$6="UL",VLOOKUP(O169,'3-SNR-Chan SE vs Range'!$Y$9:$Z$23,2),VLOOKUP(O169,$AH$9:$AI$23,2))</f>
        <v>#VALUE!</v>
      </c>
      <c r="Q169" s="288" t="e">
        <f>SUM(P169:P$190)/$A169/((3*3^0.5/2)*N169^2)</f>
        <v>#VALUE!</v>
      </c>
      <c r="R169" s="201" t="e">
        <f t="shared" si="55"/>
        <v>#VALUE!</v>
      </c>
      <c r="S169" s="99" t="e">
        <f t="shared" si="56"/>
        <v>#VALUE!</v>
      </c>
      <c r="T169" s="22" t="e">
        <f t="shared" si="66"/>
        <v>#VALUE!</v>
      </c>
      <c r="U169" s="22" t="e">
        <f t="shared" si="67"/>
        <v>#VALUE!</v>
      </c>
      <c r="V169" s="22" t="e">
        <f>VLOOKUP(U169,'3-SNR-Chan SE vs Range'!$Y$9:$Z$23,2)</f>
        <v>#VALUE!</v>
      </c>
      <c r="W169" s="288" t="e">
        <f>SUM(V169:V$190)/$A169/((3*3^0.5/2)*T169^2)</f>
        <v>#VALUE!</v>
      </c>
      <c r="X169" s="201" t="e">
        <f t="shared" si="57"/>
        <v>#VALUE!</v>
      </c>
      <c r="Y169" s="99" t="e">
        <f t="shared" si="58"/>
        <v>#VALUE!</v>
      </c>
    </row>
    <row r="170" spans="1:25">
      <c r="A170">
        <f t="shared" si="59"/>
        <v>21</v>
      </c>
      <c r="B170" s="22" t="e">
        <f t="shared" si="60"/>
        <v>#VALUE!</v>
      </c>
      <c r="C170" s="22" t="e">
        <f t="shared" si="61"/>
        <v>#VALUE!</v>
      </c>
      <c r="D170" s="22" t="e">
        <f>IF($I$6="UL",VLOOKUP(C170,'3-SNR-Chan SE vs Range'!$Y$9:$Z$23,2),VLOOKUP(C170,$AH$9:$AI$23,2))</f>
        <v>#VALUE!</v>
      </c>
      <c r="E170" s="288" t="e">
        <f>SUM(D170:D$190)/$A170/((3*3^0.5/2)*B170^2)</f>
        <v>#VALUE!</v>
      </c>
      <c r="F170" s="201" t="e">
        <f t="shared" si="51"/>
        <v>#VALUE!</v>
      </c>
      <c r="G170" s="99" t="e">
        <f t="shared" si="52"/>
        <v>#VALUE!</v>
      </c>
      <c r="H170" s="22" t="e">
        <f t="shared" si="62"/>
        <v>#VALUE!</v>
      </c>
      <c r="I170" s="22" t="e">
        <f t="shared" si="63"/>
        <v>#VALUE!</v>
      </c>
      <c r="J170" s="22" t="e">
        <f>IF($I$6="UL",VLOOKUP(I170,'3-SNR-Chan SE vs Range'!$Y$9:$Z$23,2),VLOOKUP(I170,$AH$9:$AI$23,2))</f>
        <v>#VALUE!</v>
      </c>
      <c r="K170" s="288" t="e">
        <f>SUM(J170:J$190)/$A170/((3*3^0.5/2)*H170^2)</f>
        <v>#VALUE!</v>
      </c>
      <c r="L170" s="201" t="e">
        <f t="shared" si="53"/>
        <v>#VALUE!</v>
      </c>
      <c r="M170" s="99" t="e">
        <f t="shared" si="54"/>
        <v>#VALUE!</v>
      </c>
      <c r="N170" s="22" t="e">
        <f t="shared" si="64"/>
        <v>#VALUE!</v>
      </c>
      <c r="O170" s="22" t="e">
        <f t="shared" si="65"/>
        <v>#VALUE!</v>
      </c>
      <c r="P170" s="22" t="e">
        <f>IF($I$6="UL",VLOOKUP(O170,'3-SNR-Chan SE vs Range'!$Y$9:$Z$23,2),VLOOKUP(O170,$AH$9:$AI$23,2))</f>
        <v>#VALUE!</v>
      </c>
      <c r="Q170" s="288" t="e">
        <f>SUM(P170:P$190)/$A170/((3*3^0.5/2)*N170^2)</f>
        <v>#VALUE!</v>
      </c>
      <c r="R170" s="201" t="e">
        <f t="shared" si="55"/>
        <v>#VALUE!</v>
      </c>
      <c r="S170" s="99" t="e">
        <f t="shared" si="56"/>
        <v>#VALUE!</v>
      </c>
      <c r="T170" s="22" t="e">
        <f t="shared" si="66"/>
        <v>#VALUE!</v>
      </c>
      <c r="U170" s="22" t="e">
        <f t="shared" si="67"/>
        <v>#VALUE!</v>
      </c>
      <c r="V170" s="22" t="e">
        <f>VLOOKUP(U170,'3-SNR-Chan SE vs Range'!$Y$9:$Z$23,2)</f>
        <v>#VALUE!</v>
      </c>
      <c r="W170" s="288" t="e">
        <f>SUM(V170:V$190)/$A170/((3*3^0.5/2)*T170^2)</f>
        <v>#VALUE!</v>
      </c>
      <c r="X170" s="201" t="e">
        <f t="shared" si="57"/>
        <v>#VALUE!</v>
      </c>
      <c r="Y170" s="99" t="e">
        <f t="shared" si="58"/>
        <v>#VALUE!</v>
      </c>
    </row>
    <row r="171" spans="1:25">
      <c r="A171">
        <f t="shared" si="59"/>
        <v>20</v>
      </c>
      <c r="B171" s="22" t="e">
        <f t="shared" si="60"/>
        <v>#VALUE!</v>
      </c>
      <c r="C171" s="22" t="e">
        <f t="shared" si="61"/>
        <v>#VALUE!</v>
      </c>
      <c r="D171" s="22" t="e">
        <f>IF($I$6="UL",VLOOKUP(C171,'3-SNR-Chan SE vs Range'!$Y$9:$Z$23,2),VLOOKUP(C171,$AH$9:$AI$23,2))</f>
        <v>#VALUE!</v>
      </c>
      <c r="E171" s="288" t="e">
        <f>SUM(D171:D$190)/$A171/((3*3^0.5/2)*B171^2)</f>
        <v>#VALUE!</v>
      </c>
      <c r="F171" s="201" t="e">
        <f t="shared" si="51"/>
        <v>#VALUE!</v>
      </c>
      <c r="G171" s="99" t="e">
        <f t="shared" si="52"/>
        <v>#VALUE!</v>
      </c>
      <c r="H171" s="22" t="e">
        <f t="shared" si="62"/>
        <v>#VALUE!</v>
      </c>
      <c r="I171" s="22" t="e">
        <f t="shared" si="63"/>
        <v>#VALUE!</v>
      </c>
      <c r="J171" s="22" t="e">
        <f>IF($I$6="UL",VLOOKUP(I171,'3-SNR-Chan SE vs Range'!$Y$9:$Z$23,2),VLOOKUP(I171,$AH$9:$AI$23,2))</f>
        <v>#VALUE!</v>
      </c>
      <c r="K171" s="288" t="e">
        <f>SUM(J171:J$190)/$A171/((3*3^0.5/2)*H171^2)</f>
        <v>#VALUE!</v>
      </c>
      <c r="L171" s="201" t="e">
        <f t="shared" si="53"/>
        <v>#VALUE!</v>
      </c>
      <c r="M171" s="99" t="e">
        <f t="shared" si="54"/>
        <v>#VALUE!</v>
      </c>
      <c r="N171" s="22" t="e">
        <f t="shared" si="64"/>
        <v>#VALUE!</v>
      </c>
      <c r="O171" s="22" t="e">
        <f t="shared" si="65"/>
        <v>#VALUE!</v>
      </c>
      <c r="P171" s="22" t="e">
        <f>IF($I$6="UL",VLOOKUP(O171,'3-SNR-Chan SE vs Range'!$Y$9:$Z$23,2),VLOOKUP(O171,$AH$9:$AI$23,2))</f>
        <v>#VALUE!</v>
      </c>
      <c r="Q171" s="288" t="e">
        <f>SUM(P171:P$190)/$A171/((3*3^0.5/2)*N171^2)</f>
        <v>#VALUE!</v>
      </c>
      <c r="R171" s="201" t="e">
        <f t="shared" si="55"/>
        <v>#VALUE!</v>
      </c>
      <c r="S171" s="99" t="e">
        <f t="shared" si="56"/>
        <v>#VALUE!</v>
      </c>
      <c r="T171" s="22" t="e">
        <f t="shared" si="66"/>
        <v>#VALUE!</v>
      </c>
      <c r="U171" s="22" t="e">
        <f t="shared" si="67"/>
        <v>#VALUE!</v>
      </c>
      <c r="V171" s="22" t="e">
        <f>VLOOKUP(U171,'3-SNR-Chan SE vs Range'!$Y$9:$Z$23,2)</f>
        <v>#VALUE!</v>
      </c>
      <c r="W171" s="288" t="e">
        <f>SUM(V171:V$190)/$A171/((3*3^0.5/2)*T171^2)</f>
        <v>#VALUE!</v>
      </c>
      <c r="X171" s="201" t="e">
        <f t="shared" si="57"/>
        <v>#VALUE!</v>
      </c>
      <c r="Y171" s="99" t="e">
        <f t="shared" si="58"/>
        <v>#VALUE!</v>
      </c>
    </row>
    <row r="172" spans="1:25">
      <c r="A172">
        <f t="shared" si="59"/>
        <v>19</v>
      </c>
      <c r="B172" s="22" t="e">
        <f t="shared" si="60"/>
        <v>#VALUE!</v>
      </c>
      <c r="C172" s="22" t="e">
        <f t="shared" si="61"/>
        <v>#VALUE!</v>
      </c>
      <c r="D172" s="22" t="e">
        <f>IF($I$6="UL",VLOOKUP(C172,'3-SNR-Chan SE vs Range'!$Y$9:$Z$23,2),VLOOKUP(C172,$AH$9:$AI$23,2))</f>
        <v>#VALUE!</v>
      </c>
      <c r="E172" s="288" t="e">
        <f>SUM(D172:D$190)/$A172/((3*3^0.5/2)*B172^2)</f>
        <v>#VALUE!</v>
      </c>
      <c r="F172" s="201" t="e">
        <f t="shared" si="51"/>
        <v>#VALUE!</v>
      </c>
      <c r="G172" s="99" t="e">
        <f t="shared" si="52"/>
        <v>#VALUE!</v>
      </c>
      <c r="H172" s="22" t="e">
        <f t="shared" si="62"/>
        <v>#VALUE!</v>
      </c>
      <c r="I172" s="22" t="e">
        <f t="shared" si="63"/>
        <v>#VALUE!</v>
      </c>
      <c r="J172" s="22" t="e">
        <f>IF($I$6="UL",VLOOKUP(I172,'3-SNR-Chan SE vs Range'!$Y$9:$Z$23,2),VLOOKUP(I172,$AH$9:$AI$23,2))</f>
        <v>#VALUE!</v>
      </c>
      <c r="K172" s="288" t="e">
        <f>SUM(J172:J$190)/$A172/((3*3^0.5/2)*H172^2)</f>
        <v>#VALUE!</v>
      </c>
      <c r="L172" s="201" t="e">
        <f t="shared" si="53"/>
        <v>#VALUE!</v>
      </c>
      <c r="M172" s="99" t="e">
        <f t="shared" si="54"/>
        <v>#VALUE!</v>
      </c>
      <c r="N172" s="22" t="e">
        <f t="shared" si="64"/>
        <v>#VALUE!</v>
      </c>
      <c r="O172" s="22" t="e">
        <f t="shared" si="65"/>
        <v>#VALUE!</v>
      </c>
      <c r="P172" s="22" t="e">
        <f>IF($I$6="UL",VLOOKUP(O172,'3-SNR-Chan SE vs Range'!$Y$9:$Z$23,2),VLOOKUP(O172,$AH$9:$AI$23,2))</f>
        <v>#VALUE!</v>
      </c>
      <c r="Q172" s="288" t="e">
        <f>SUM(P172:P$190)/$A172/((3*3^0.5/2)*N172^2)</f>
        <v>#VALUE!</v>
      </c>
      <c r="R172" s="201" t="e">
        <f t="shared" si="55"/>
        <v>#VALUE!</v>
      </c>
      <c r="S172" s="99" t="e">
        <f t="shared" si="56"/>
        <v>#VALUE!</v>
      </c>
      <c r="T172" s="22" t="e">
        <f t="shared" si="66"/>
        <v>#VALUE!</v>
      </c>
      <c r="U172" s="22" t="e">
        <f t="shared" si="67"/>
        <v>#VALUE!</v>
      </c>
      <c r="V172" s="22" t="e">
        <f>VLOOKUP(U172,'3-SNR-Chan SE vs Range'!$Y$9:$Z$23,2)</f>
        <v>#VALUE!</v>
      </c>
      <c r="W172" s="288" t="e">
        <f>SUM(V172:V$190)/$A172/((3*3^0.5/2)*T172^2)</f>
        <v>#VALUE!</v>
      </c>
      <c r="X172" s="201" t="e">
        <f t="shared" si="57"/>
        <v>#VALUE!</v>
      </c>
      <c r="Y172" s="99" t="e">
        <f t="shared" si="58"/>
        <v>#VALUE!</v>
      </c>
    </row>
    <row r="173" spans="1:25">
      <c r="A173">
        <f t="shared" si="59"/>
        <v>18</v>
      </c>
      <c r="B173" s="22" t="e">
        <f t="shared" si="60"/>
        <v>#VALUE!</v>
      </c>
      <c r="C173" s="22" t="e">
        <f t="shared" si="61"/>
        <v>#VALUE!</v>
      </c>
      <c r="D173" s="22" t="e">
        <f>IF($I$6="UL",VLOOKUP(C173,'3-SNR-Chan SE vs Range'!$Y$9:$Z$23,2),VLOOKUP(C173,$AH$9:$AI$23,2))</f>
        <v>#VALUE!</v>
      </c>
      <c r="E173" s="288" t="e">
        <f>SUM(D173:D$190)/$A173/((3*3^0.5/2)*B173^2)</f>
        <v>#VALUE!</v>
      </c>
      <c r="F173" s="201" t="e">
        <f t="shared" si="51"/>
        <v>#VALUE!</v>
      </c>
      <c r="G173" s="99" t="e">
        <f t="shared" si="52"/>
        <v>#VALUE!</v>
      </c>
      <c r="H173" s="22" t="e">
        <f t="shared" si="62"/>
        <v>#VALUE!</v>
      </c>
      <c r="I173" s="22" t="e">
        <f t="shared" si="63"/>
        <v>#VALUE!</v>
      </c>
      <c r="J173" s="22" t="e">
        <f>IF($I$6="UL",VLOOKUP(I173,'3-SNR-Chan SE vs Range'!$Y$9:$Z$23,2),VLOOKUP(I173,$AH$9:$AI$23,2))</f>
        <v>#VALUE!</v>
      </c>
      <c r="K173" s="288" t="e">
        <f>SUM(J173:J$190)/$A173/((3*3^0.5/2)*H173^2)</f>
        <v>#VALUE!</v>
      </c>
      <c r="L173" s="201" t="e">
        <f t="shared" si="53"/>
        <v>#VALUE!</v>
      </c>
      <c r="M173" s="99" t="e">
        <f t="shared" si="54"/>
        <v>#VALUE!</v>
      </c>
      <c r="N173" s="22" t="e">
        <f t="shared" si="64"/>
        <v>#VALUE!</v>
      </c>
      <c r="O173" s="22" t="e">
        <f t="shared" si="65"/>
        <v>#VALUE!</v>
      </c>
      <c r="P173" s="22" t="e">
        <f>IF($I$6="UL",VLOOKUP(O173,'3-SNR-Chan SE vs Range'!$Y$9:$Z$23,2),VLOOKUP(O173,$AH$9:$AI$23,2))</f>
        <v>#VALUE!</v>
      </c>
      <c r="Q173" s="288" t="e">
        <f>SUM(P173:P$190)/$A173/((3*3^0.5/2)*N173^2)</f>
        <v>#VALUE!</v>
      </c>
      <c r="R173" s="201" t="e">
        <f t="shared" si="55"/>
        <v>#VALUE!</v>
      </c>
      <c r="S173" s="99" t="e">
        <f t="shared" si="56"/>
        <v>#VALUE!</v>
      </c>
      <c r="T173" s="22" t="e">
        <f t="shared" si="66"/>
        <v>#VALUE!</v>
      </c>
      <c r="U173" s="22" t="e">
        <f t="shared" si="67"/>
        <v>#VALUE!</v>
      </c>
      <c r="V173" s="22" t="e">
        <f>VLOOKUP(U173,'3-SNR-Chan SE vs Range'!$Y$9:$Z$23,2)</f>
        <v>#VALUE!</v>
      </c>
      <c r="W173" s="288" t="e">
        <f>SUM(V173:V$190)/$A173/((3*3^0.5/2)*T173^2)</f>
        <v>#VALUE!</v>
      </c>
      <c r="X173" s="201" t="e">
        <f t="shared" si="57"/>
        <v>#VALUE!</v>
      </c>
      <c r="Y173" s="99" t="e">
        <f t="shared" si="58"/>
        <v>#VALUE!</v>
      </c>
    </row>
    <row r="174" spans="1:25">
      <c r="A174">
        <f t="shared" si="59"/>
        <v>17</v>
      </c>
      <c r="B174" s="22" t="e">
        <f t="shared" si="60"/>
        <v>#VALUE!</v>
      </c>
      <c r="C174" s="22" t="e">
        <f t="shared" si="61"/>
        <v>#VALUE!</v>
      </c>
      <c r="D174" s="22" t="e">
        <f>IF($I$6="UL",VLOOKUP(C174,'3-SNR-Chan SE vs Range'!$Y$9:$Z$23,2),VLOOKUP(C174,$AH$9:$AI$23,2))</f>
        <v>#VALUE!</v>
      </c>
      <c r="E174" s="288" t="e">
        <f>SUM(D174:D$190)/$A174/((3*3^0.5/2)*B174^2)</f>
        <v>#VALUE!</v>
      </c>
      <c r="F174" s="201" t="e">
        <f t="shared" si="51"/>
        <v>#VALUE!</v>
      </c>
      <c r="G174" s="99" t="e">
        <f t="shared" si="52"/>
        <v>#VALUE!</v>
      </c>
      <c r="H174" s="22" t="e">
        <f t="shared" si="62"/>
        <v>#VALUE!</v>
      </c>
      <c r="I174" s="22" t="e">
        <f t="shared" si="63"/>
        <v>#VALUE!</v>
      </c>
      <c r="J174" s="22" t="e">
        <f>IF($I$6="UL",VLOOKUP(I174,'3-SNR-Chan SE vs Range'!$Y$9:$Z$23,2),VLOOKUP(I174,$AH$9:$AI$23,2))</f>
        <v>#VALUE!</v>
      </c>
      <c r="K174" s="288" t="e">
        <f>SUM(J174:J$190)/$A174/((3*3^0.5/2)*H174^2)</f>
        <v>#VALUE!</v>
      </c>
      <c r="L174" s="201" t="e">
        <f t="shared" si="53"/>
        <v>#VALUE!</v>
      </c>
      <c r="M174" s="99" t="e">
        <f t="shared" si="54"/>
        <v>#VALUE!</v>
      </c>
      <c r="N174" s="22" t="e">
        <f t="shared" si="64"/>
        <v>#VALUE!</v>
      </c>
      <c r="O174" s="22" t="e">
        <f t="shared" si="65"/>
        <v>#VALUE!</v>
      </c>
      <c r="P174" s="22" t="e">
        <f>IF($I$6="UL",VLOOKUP(O174,'3-SNR-Chan SE vs Range'!$Y$9:$Z$23,2),VLOOKUP(O174,$AH$9:$AI$23,2))</f>
        <v>#VALUE!</v>
      </c>
      <c r="Q174" s="288" t="e">
        <f>SUM(P174:P$190)/$A174/((3*3^0.5/2)*N174^2)</f>
        <v>#VALUE!</v>
      </c>
      <c r="R174" s="201" t="e">
        <f t="shared" si="55"/>
        <v>#VALUE!</v>
      </c>
      <c r="S174" s="99" t="e">
        <f t="shared" si="56"/>
        <v>#VALUE!</v>
      </c>
      <c r="T174" s="22" t="e">
        <f t="shared" si="66"/>
        <v>#VALUE!</v>
      </c>
      <c r="U174" s="22" t="e">
        <f t="shared" si="67"/>
        <v>#VALUE!</v>
      </c>
      <c r="V174" s="22" t="e">
        <f>VLOOKUP(U174,'3-SNR-Chan SE vs Range'!$Y$9:$Z$23,2)</f>
        <v>#VALUE!</v>
      </c>
      <c r="W174" s="288" t="e">
        <f>SUM(V174:V$190)/$A174/((3*3^0.5/2)*T174^2)</f>
        <v>#VALUE!</v>
      </c>
      <c r="X174" s="201" t="e">
        <f t="shared" si="57"/>
        <v>#VALUE!</v>
      </c>
      <c r="Y174" s="99" t="e">
        <f t="shared" si="58"/>
        <v>#VALUE!</v>
      </c>
    </row>
    <row r="175" spans="1:25">
      <c r="A175">
        <f t="shared" si="59"/>
        <v>16</v>
      </c>
      <c r="B175" s="22" t="e">
        <f t="shared" si="60"/>
        <v>#VALUE!</v>
      </c>
      <c r="C175" s="22" t="e">
        <f t="shared" si="61"/>
        <v>#VALUE!</v>
      </c>
      <c r="D175" s="22" t="e">
        <f>IF($I$6="UL",VLOOKUP(C175,'3-SNR-Chan SE vs Range'!$Y$9:$Z$23,2),VLOOKUP(C175,$AH$9:$AI$23,2))</f>
        <v>#VALUE!</v>
      </c>
      <c r="E175" s="288" t="e">
        <f>SUM(D175:D$190)/$A175/((3*3^0.5/2)*B175^2)</f>
        <v>#VALUE!</v>
      </c>
      <c r="F175" s="201" t="e">
        <f t="shared" si="51"/>
        <v>#VALUE!</v>
      </c>
      <c r="G175" s="99" t="e">
        <f t="shared" si="52"/>
        <v>#VALUE!</v>
      </c>
      <c r="H175" s="22" t="e">
        <f t="shared" si="62"/>
        <v>#VALUE!</v>
      </c>
      <c r="I175" s="22" t="e">
        <f t="shared" si="63"/>
        <v>#VALUE!</v>
      </c>
      <c r="J175" s="22" t="e">
        <f>IF($I$6="UL",VLOOKUP(I175,'3-SNR-Chan SE vs Range'!$Y$9:$Z$23,2),VLOOKUP(I175,$AH$9:$AI$23,2))</f>
        <v>#VALUE!</v>
      </c>
      <c r="K175" s="288" t="e">
        <f>SUM(J175:J$190)/$A175/((3*3^0.5/2)*H175^2)</f>
        <v>#VALUE!</v>
      </c>
      <c r="L175" s="201" t="e">
        <f t="shared" si="53"/>
        <v>#VALUE!</v>
      </c>
      <c r="M175" s="99" t="e">
        <f t="shared" si="54"/>
        <v>#VALUE!</v>
      </c>
      <c r="N175" s="22" t="e">
        <f t="shared" si="64"/>
        <v>#VALUE!</v>
      </c>
      <c r="O175" s="22" t="e">
        <f t="shared" si="65"/>
        <v>#VALUE!</v>
      </c>
      <c r="P175" s="22" t="e">
        <f>IF($I$6="UL",VLOOKUP(O175,'3-SNR-Chan SE vs Range'!$Y$9:$Z$23,2),VLOOKUP(O175,$AH$9:$AI$23,2))</f>
        <v>#VALUE!</v>
      </c>
      <c r="Q175" s="288" t="e">
        <f>SUM(P175:P$190)/$A175/((3*3^0.5/2)*N175^2)</f>
        <v>#VALUE!</v>
      </c>
      <c r="R175" s="201" t="e">
        <f t="shared" si="55"/>
        <v>#VALUE!</v>
      </c>
      <c r="S175" s="99" t="e">
        <f t="shared" si="56"/>
        <v>#VALUE!</v>
      </c>
      <c r="T175" s="22" t="e">
        <f t="shared" si="66"/>
        <v>#VALUE!</v>
      </c>
      <c r="U175" s="22" t="e">
        <f t="shared" si="67"/>
        <v>#VALUE!</v>
      </c>
      <c r="V175" s="22" t="e">
        <f>VLOOKUP(U175,'3-SNR-Chan SE vs Range'!$Y$9:$Z$23,2)</f>
        <v>#VALUE!</v>
      </c>
      <c r="W175" s="288" t="e">
        <f>SUM(V175:V$190)/$A175/((3*3^0.5/2)*T175^2)</f>
        <v>#VALUE!</v>
      </c>
      <c r="X175" s="201" t="e">
        <f t="shared" si="57"/>
        <v>#VALUE!</v>
      </c>
      <c r="Y175" s="99" t="e">
        <f t="shared" si="58"/>
        <v>#VALUE!</v>
      </c>
    </row>
    <row r="176" spans="1:25">
      <c r="A176">
        <f t="shared" si="59"/>
        <v>15</v>
      </c>
      <c r="B176" s="22" t="e">
        <f t="shared" si="60"/>
        <v>#VALUE!</v>
      </c>
      <c r="C176" s="22" t="e">
        <f t="shared" si="61"/>
        <v>#VALUE!</v>
      </c>
      <c r="D176" s="22" t="e">
        <f>IF($I$6="UL",VLOOKUP(C176,'3-SNR-Chan SE vs Range'!$Y$9:$Z$23,2),VLOOKUP(C176,$AH$9:$AI$23,2))</f>
        <v>#VALUE!</v>
      </c>
      <c r="E176" s="288" t="e">
        <f>SUM(D176:D$190)/$A176/((3*3^0.5/2)*B176^2)</f>
        <v>#VALUE!</v>
      </c>
      <c r="F176" s="201" t="e">
        <f t="shared" si="51"/>
        <v>#VALUE!</v>
      </c>
      <c r="G176" s="99" t="e">
        <f t="shared" si="52"/>
        <v>#VALUE!</v>
      </c>
      <c r="H176" s="22" t="e">
        <f t="shared" si="62"/>
        <v>#VALUE!</v>
      </c>
      <c r="I176" s="22" t="e">
        <f t="shared" si="63"/>
        <v>#VALUE!</v>
      </c>
      <c r="J176" s="22" t="e">
        <f>IF($I$6="UL",VLOOKUP(I176,'3-SNR-Chan SE vs Range'!$Y$9:$Z$23,2),VLOOKUP(I176,$AH$9:$AI$23,2))</f>
        <v>#VALUE!</v>
      </c>
      <c r="K176" s="288" t="e">
        <f>SUM(J176:J$190)/$A176/((3*3^0.5/2)*H176^2)</f>
        <v>#VALUE!</v>
      </c>
      <c r="L176" s="201" t="e">
        <f t="shared" si="53"/>
        <v>#VALUE!</v>
      </c>
      <c r="M176" s="99" t="e">
        <f t="shared" si="54"/>
        <v>#VALUE!</v>
      </c>
      <c r="N176" s="22" t="e">
        <f t="shared" si="64"/>
        <v>#VALUE!</v>
      </c>
      <c r="O176" s="22" t="e">
        <f t="shared" si="65"/>
        <v>#VALUE!</v>
      </c>
      <c r="P176" s="22" t="e">
        <f>IF($I$6="UL",VLOOKUP(O176,'3-SNR-Chan SE vs Range'!$Y$9:$Z$23,2),VLOOKUP(O176,$AH$9:$AI$23,2))</f>
        <v>#VALUE!</v>
      </c>
      <c r="Q176" s="288" t="e">
        <f>SUM(P176:P$190)/$A176/((3*3^0.5/2)*N176^2)</f>
        <v>#VALUE!</v>
      </c>
      <c r="R176" s="201" t="e">
        <f t="shared" si="55"/>
        <v>#VALUE!</v>
      </c>
      <c r="S176" s="99" t="e">
        <f t="shared" si="56"/>
        <v>#VALUE!</v>
      </c>
      <c r="T176" s="22" t="e">
        <f t="shared" si="66"/>
        <v>#VALUE!</v>
      </c>
      <c r="U176" s="22" t="e">
        <f t="shared" si="67"/>
        <v>#VALUE!</v>
      </c>
      <c r="V176" s="22" t="e">
        <f>VLOOKUP(U176,'3-SNR-Chan SE vs Range'!$Y$9:$Z$23,2)</f>
        <v>#VALUE!</v>
      </c>
      <c r="W176" s="288" t="e">
        <f>SUM(V176:V$190)/$A176/((3*3^0.5/2)*T176^2)</f>
        <v>#VALUE!</v>
      </c>
      <c r="X176" s="201" t="e">
        <f t="shared" si="57"/>
        <v>#VALUE!</v>
      </c>
      <c r="Y176" s="99" t="e">
        <f t="shared" si="58"/>
        <v>#VALUE!</v>
      </c>
    </row>
    <row r="177" spans="1:25">
      <c r="A177">
        <f t="shared" si="59"/>
        <v>14</v>
      </c>
      <c r="B177" s="22" t="e">
        <f t="shared" si="60"/>
        <v>#VALUE!</v>
      </c>
      <c r="C177" s="22" t="e">
        <f t="shared" si="61"/>
        <v>#VALUE!</v>
      </c>
      <c r="D177" s="22" t="e">
        <f>IF($I$6="UL",VLOOKUP(C177,'3-SNR-Chan SE vs Range'!$Y$9:$Z$23,2),VLOOKUP(C177,$AH$9:$AI$23,2))</f>
        <v>#VALUE!</v>
      </c>
      <c r="E177" s="288" t="e">
        <f>SUM(D177:D$190)/$A177/((3*3^0.5/2)*B177^2)</f>
        <v>#VALUE!</v>
      </c>
      <c r="F177" s="201" t="e">
        <f t="shared" si="51"/>
        <v>#VALUE!</v>
      </c>
      <c r="G177" s="99" t="e">
        <f t="shared" si="52"/>
        <v>#VALUE!</v>
      </c>
      <c r="H177" s="22" t="e">
        <f t="shared" si="62"/>
        <v>#VALUE!</v>
      </c>
      <c r="I177" s="22" t="e">
        <f t="shared" si="63"/>
        <v>#VALUE!</v>
      </c>
      <c r="J177" s="22" t="e">
        <f>IF($I$6="UL",VLOOKUP(I177,'3-SNR-Chan SE vs Range'!$Y$9:$Z$23,2),VLOOKUP(I177,$AH$9:$AI$23,2))</f>
        <v>#VALUE!</v>
      </c>
      <c r="K177" s="288" t="e">
        <f>SUM(J177:J$190)/$A177/((3*3^0.5/2)*H177^2)</f>
        <v>#VALUE!</v>
      </c>
      <c r="L177" s="201" t="e">
        <f t="shared" si="53"/>
        <v>#VALUE!</v>
      </c>
      <c r="M177" s="99" t="e">
        <f t="shared" si="54"/>
        <v>#VALUE!</v>
      </c>
      <c r="N177" s="22" t="e">
        <f t="shared" si="64"/>
        <v>#VALUE!</v>
      </c>
      <c r="O177" s="22" t="e">
        <f t="shared" si="65"/>
        <v>#VALUE!</v>
      </c>
      <c r="P177" s="22" t="e">
        <f>IF($I$6="UL",VLOOKUP(O177,'3-SNR-Chan SE vs Range'!$Y$9:$Z$23,2),VLOOKUP(O177,$AH$9:$AI$23,2))</f>
        <v>#VALUE!</v>
      </c>
      <c r="Q177" s="288" t="e">
        <f>SUM(P177:P$190)/$A177/((3*3^0.5/2)*N177^2)</f>
        <v>#VALUE!</v>
      </c>
      <c r="R177" s="201" t="e">
        <f t="shared" si="55"/>
        <v>#VALUE!</v>
      </c>
      <c r="S177" s="99" t="e">
        <f t="shared" si="56"/>
        <v>#VALUE!</v>
      </c>
      <c r="T177" s="22" t="e">
        <f t="shared" si="66"/>
        <v>#VALUE!</v>
      </c>
      <c r="U177" s="22" t="e">
        <f t="shared" si="67"/>
        <v>#VALUE!</v>
      </c>
      <c r="V177" s="22" t="e">
        <f>VLOOKUP(U177,'3-SNR-Chan SE vs Range'!$Y$9:$Z$23,2)</f>
        <v>#VALUE!</v>
      </c>
      <c r="W177" s="288" t="e">
        <f>SUM(V177:V$190)/$A177/((3*3^0.5/2)*T177^2)</f>
        <v>#VALUE!</v>
      </c>
      <c r="X177" s="201" t="e">
        <f t="shared" si="57"/>
        <v>#VALUE!</v>
      </c>
      <c r="Y177" s="99" t="e">
        <f t="shared" si="58"/>
        <v>#VALUE!</v>
      </c>
    </row>
    <row r="178" spans="1:25">
      <c r="A178">
        <f t="shared" si="59"/>
        <v>13</v>
      </c>
      <c r="B178" s="22" t="e">
        <f t="shared" si="60"/>
        <v>#VALUE!</v>
      </c>
      <c r="C178" s="22" t="e">
        <f t="shared" si="61"/>
        <v>#VALUE!</v>
      </c>
      <c r="D178" s="22" t="e">
        <f>IF($I$6="UL",VLOOKUP(C178,'3-SNR-Chan SE vs Range'!$Y$9:$Z$23,2),VLOOKUP(C178,$AH$9:$AI$23,2))</f>
        <v>#VALUE!</v>
      </c>
      <c r="E178" s="288" t="e">
        <f>SUM(D178:D$190)/$A178/((3*3^0.5/2)*B178^2)</f>
        <v>#VALUE!</v>
      </c>
      <c r="F178" s="201" t="e">
        <f t="shared" si="51"/>
        <v>#VALUE!</v>
      </c>
      <c r="G178" s="99" t="e">
        <f t="shared" si="52"/>
        <v>#VALUE!</v>
      </c>
      <c r="H178" s="22" t="e">
        <f t="shared" si="62"/>
        <v>#VALUE!</v>
      </c>
      <c r="I178" s="22" t="e">
        <f t="shared" si="63"/>
        <v>#VALUE!</v>
      </c>
      <c r="J178" s="22" t="e">
        <f>IF($I$6="UL",VLOOKUP(I178,'3-SNR-Chan SE vs Range'!$Y$9:$Z$23,2),VLOOKUP(I178,$AH$9:$AI$23,2))</f>
        <v>#VALUE!</v>
      </c>
      <c r="K178" s="288" t="e">
        <f>SUM(J178:J$190)/$A178/((3*3^0.5/2)*H178^2)</f>
        <v>#VALUE!</v>
      </c>
      <c r="L178" s="201" t="e">
        <f t="shared" si="53"/>
        <v>#VALUE!</v>
      </c>
      <c r="M178" s="99" t="e">
        <f t="shared" si="54"/>
        <v>#VALUE!</v>
      </c>
      <c r="N178" s="22" t="e">
        <f t="shared" si="64"/>
        <v>#VALUE!</v>
      </c>
      <c r="O178" s="22" t="e">
        <f t="shared" si="65"/>
        <v>#VALUE!</v>
      </c>
      <c r="P178" s="22" t="e">
        <f>IF($I$6="UL",VLOOKUP(O178,'3-SNR-Chan SE vs Range'!$Y$9:$Z$23,2),VLOOKUP(O178,$AH$9:$AI$23,2))</f>
        <v>#VALUE!</v>
      </c>
      <c r="Q178" s="288" t="e">
        <f>SUM(P178:P$190)/$A178/((3*3^0.5/2)*N178^2)</f>
        <v>#VALUE!</v>
      </c>
      <c r="R178" s="201" t="e">
        <f t="shared" si="55"/>
        <v>#VALUE!</v>
      </c>
      <c r="S178" s="99" t="e">
        <f t="shared" si="56"/>
        <v>#VALUE!</v>
      </c>
      <c r="T178" s="22" t="e">
        <f t="shared" si="66"/>
        <v>#VALUE!</v>
      </c>
      <c r="U178" s="22" t="e">
        <f t="shared" si="67"/>
        <v>#VALUE!</v>
      </c>
      <c r="V178" s="22" t="e">
        <f>VLOOKUP(U178,'3-SNR-Chan SE vs Range'!$Y$9:$Z$23,2)</f>
        <v>#VALUE!</v>
      </c>
      <c r="W178" s="288" t="e">
        <f>SUM(V178:V$190)/$A178/((3*3^0.5/2)*T178^2)</f>
        <v>#VALUE!</v>
      </c>
      <c r="X178" s="201" t="e">
        <f t="shared" si="57"/>
        <v>#VALUE!</v>
      </c>
      <c r="Y178" s="99" t="e">
        <f t="shared" si="58"/>
        <v>#VALUE!</v>
      </c>
    </row>
    <row r="179" spans="1:25">
      <c r="A179">
        <f t="shared" si="59"/>
        <v>12</v>
      </c>
      <c r="B179" s="22" t="e">
        <f t="shared" si="60"/>
        <v>#VALUE!</v>
      </c>
      <c r="C179" s="22" t="e">
        <f t="shared" si="61"/>
        <v>#VALUE!</v>
      </c>
      <c r="D179" s="22" t="e">
        <f>IF($I$6="UL",VLOOKUP(C179,'3-SNR-Chan SE vs Range'!$Y$9:$Z$23,2),VLOOKUP(C179,$AH$9:$AI$23,2))</f>
        <v>#VALUE!</v>
      </c>
      <c r="E179" s="288" t="e">
        <f>SUM(D179:D$190)/$A179/((3*3^0.5/2)*B179^2)</f>
        <v>#VALUE!</v>
      </c>
      <c r="F179" s="201" t="e">
        <f t="shared" si="51"/>
        <v>#VALUE!</v>
      </c>
      <c r="G179" s="99" t="e">
        <f t="shared" si="52"/>
        <v>#VALUE!</v>
      </c>
      <c r="H179" s="22" t="e">
        <f t="shared" si="62"/>
        <v>#VALUE!</v>
      </c>
      <c r="I179" s="22" t="e">
        <f t="shared" si="63"/>
        <v>#VALUE!</v>
      </c>
      <c r="J179" s="22" t="e">
        <f>IF($I$6="UL",VLOOKUP(I179,'3-SNR-Chan SE vs Range'!$Y$9:$Z$23,2),VLOOKUP(I179,$AH$9:$AI$23,2))</f>
        <v>#VALUE!</v>
      </c>
      <c r="K179" s="288" t="e">
        <f>SUM(J179:J$190)/$A179/((3*3^0.5/2)*H179^2)</f>
        <v>#VALUE!</v>
      </c>
      <c r="L179" s="201" t="e">
        <f t="shared" si="53"/>
        <v>#VALUE!</v>
      </c>
      <c r="M179" s="99" t="e">
        <f t="shared" si="54"/>
        <v>#VALUE!</v>
      </c>
      <c r="N179" s="22" t="e">
        <f t="shared" si="64"/>
        <v>#VALUE!</v>
      </c>
      <c r="O179" s="22" t="e">
        <f t="shared" si="65"/>
        <v>#VALUE!</v>
      </c>
      <c r="P179" s="22" t="e">
        <f>IF($I$6="UL",VLOOKUP(O179,'3-SNR-Chan SE vs Range'!$Y$9:$Z$23,2),VLOOKUP(O179,$AH$9:$AI$23,2))</f>
        <v>#VALUE!</v>
      </c>
      <c r="Q179" s="288" t="e">
        <f>SUM(P179:P$190)/$A179/((3*3^0.5/2)*N179^2)</f>
        <v>#VALUE!</v>
      </c>
      <c r="R179" s="201" t="e">
        <f t="shared" si="55"/>
        <v>#VALUE!</v>
      </c>
      <c r="S179" s="99" t="e">
        <f t="shared" si="56"/>
        <v>#VALUE!</v>
      </c>
      <c r="T179" s="22" t="e">
        <f t="shared" si="66"/>
        <v>#VALUE!</v>
      </c>
      <c r="U179" s="22" t="e">
        <f t="shared" si="67"/>
        <v>#VALUE!</v>
      </c>
      <c r="V179" s="22" t="e">
        <f>VLOOKUP(U179,'3-SNR-Chan SE vs Range'!$Y$9:$Z$23,2)</f>
        <v>#VALUE!</v>
      </c>
      <c r="W179" s="288" t="e">
        <f>SUM(V179:V$190)/$A179/((3*3^0.5/2)*T179^2)</f>
        <v>#VALUE!</v>
      </c>
      <c r="X179" s="201" t="e">
        <f t="shared" si="57"/>
        <v>#VALUE!</v>
      </c>
      <c r="Y179" s="99" t="e">
        <f t="shared" si="58"/>
        <v>#VALUE!</v>
      </c>
    </row>
    <row r="180" spans="1:25">
      <c r="A180">
        <f t="shared" si="59"/>
        <v>11</v>
      </c>
      <c r="B180" s="22" t="e">
        <f t="shared" si="60"/>
        <v>#VALUE!</v>
      </c>
      <c r="C180" s="22" t="e">
        <f t="shared" si="61"/>
        <v>#VALUE!</v>
      </c>
      <c r="D180" s="22" t="e">
        <f>IF($I$6="UL",VLOOKUP(C180,'3-SNR-Chan SE vs Range'!$Y$9:$Z$23,2),VLOOKUP(C180,$AH$9:$AI$23,2))</f>
        <v>#VALUE!</v>
      </c>
      <c r="E180" s="288" t="e">
        <f>SUM(D180:D$190)/$A180/((3*3^0.5/2)*B180^2)</f>
        <v>#VALUE!</v>
      </c>
      <c r="F180" s="201" t="e">
        <f t="shared" si="51"/>
        <v>#VALUE!</v>
      </c>
      <c r="G180" s="99" t="e">
        <f t="shared" si="52"/>
        <v>#VALUE!</v>
      </c>
      <c r="H180" s="22" t="e">
        <f t="shared" si="62"/>
        <v>#VALUE!</v>
      </c>
      <c r="I180" s="22" t="e">
        <f t="shared" si="63"/>
        <v>#VALUE!</v>
      </c>
      <c r="J180" s="22" t="e">
        <f>IF($I$6="UL",VLOOKUP(I180,'3-SNR-Chan SE vs Range'!$Y$9:$Z$23,2),VLOOKUP(I180,$AH$9:$AI$23,2))</f>
        <v>#VALUE!</v>
      </c>
      <c r="K180" s="288" t="e">
        <f>SUM(J180:J$190)/$A180/((3*3^0.5/2)*H180^2)</f>
        <v>#VALUE!</v>
      </c>
      <c r="L180" s="201" t="e">
        <f t="shared" si="53"/>
        <v>#VALUE!</v>
      </c>
      <c r="M180" s="99" t="e">
        <f t="shared" si="54"/>
        <v>#VALUE!</v>
      </c>
      <c r="N180" s="22" t="e">
        <f t="shared" si="64"/>
        <v>#VALUE!</v>
      </c>
      <c r="O180" s="22" t="e">
        <f t="shared" si="65"/>
        <v>#VALUE!</v>
      </c>
      <c r="P180" s="22" t="e">
        <f>IF($I$6="UL",VLOOKUP(O180,'3-SNR-Chan SE vs Range'!$Y$9:$Z$23,2),VLOOKUP(O180,$AH$9:$AI$23,2))</f>
        <v>#VALUE!</v>
      </c>
      <c r="Q180" s="288" t="e">
        <f>SUM(P180:P$190)/$A180/((3*3^0.5/2)*N180^2)</f>
        <v>#VALUE!</v>
      </c>
      <c r="R180" s="201" t="e">
        <f t="shared" si="55"/>
        <v>#VALUE!</v>
      </c>
      <c r="S180" s="99" t="e">
        <f t="shared" si="56"/>
        <v>#VALUE!</v>
      </c>
      <c r="T180" s="22" t="e">
        <f t="shared" si="66"/>
        <v>#VALUE!</v>
      </c>
      <c r="U180" s="22" t="e">
        <f t="shared" si="67"/>
        <v>#VALUE!</v>
      </c>
      <c r="V180" s="22" t="e">
        <f>VLOOKUP(U180,'3-SNR-Chan SE vs Range'!$Y$9:$Z$23,2)</f>
        <v>#VALUE!</v>
      </c>
      <c r="W180" s="288" t="e">
        <f>SUM(V180:V$190)/$A180/((3*3^0.5/2)*T180^2)</f>
        <v>#VALUE!</v>
      </c>
      <c r="X180" s="201" t="e">
        <f t="shared" si="57"/>
        <v>#VALUE!</v>
      </c>
      <c r="Y180" s="99" t="e">
        <f t="shared" si="58"/>
        <v>#VALUE!</v>
      </c>
    </row>
    <row r="181" spans="1:25">
      <c r="A181">
        <f t="shared" si="59"/>
        <v>10</v>
      </c>
      <c r="B181" s="22" t="e">
        <f t="shared" si="60"/>
        <v>#VALUE!</v>
      </c>
      <c r="C181" s="22" t="e">
        <f t="shared" si="61"/>
        <v>#VALUE!</v>
      </c>
      <c r="D181" s="22" t="e">
        <f>IF($I$6="UL",VLOOKUP(C181,'3-SNR-Chan SE vs Range'!$Y$9:$Z$23,2),VLOOKUP(C181,$AH$9:$AI$23,2))</f>
        <v>#VALUE!</v>
      </c>
      <c r="E181" s="288" t="e">
        <f>SUM(D181:D$190)/$A181/((3*3^0.5/2)*B181^2)</f>
        <v>#VALUE!</v>
      </c>
      <c r="F181" s="201" t="e">
        <f t="shared" si="51"/>
        <v>#VALUE!</v>
      </c>
      <c r="G181" s="99" t="e">
        <f t="shared" si="52"/>
        <v>#VALUE!</v>
      </c>
      <c r="H181" s="22" t="e">
        <f t="shared" si="62"/>
        <v>#VALUE!</v>
      </c>
      <c r="I181" s="22" t="e">
        <f t="shared" si="63"/>
        <v>#VALUE!</v>
      </c>
      <c r="J181" s="22" t="e">
        <f>IF($I$6="UL",VLOOKUP(I181,'3-SNR-Chan SE vs Range'!$Y$9:$Z$23,2),VLOOKUP(I181,$AH$9:$AI$23,2))</f>
        <v>#VALUE!</v>
      </c>
      <c r="K181" s="288" t="e">
        <f>SUM(J181:J$190)/$A181/((3*3^0.5/2)*H181^2)</f>
        <v>#VALUE!</v>
      </c>
      <c r="L181" s="201" t="e">
        <f t="shared" si="53"/>
        <v>#VALUE!</v>
      </c>
      <c r="M181" s="99" t="e">
        <f t="shared" si="54"/>
        <v>#VALUE!</v>
      </c>
      <c r="N181" s="22" t="e">
        <f t="shared" si="64"/>
        <v>#VALUE!</v>
      </c>
      <c r="O181" s="22" t="e">
        <f t="shared" si="65"/>
        <v>#VALUE!</v>
      </c>
      <c r="P181" s="22" t="e">
        <f>IF($I$6="UL",VLOOKUP(O181,'3-SNR-Chan SE vs Range'!$Y$9:$Z$23,2),VLOOKUP(O181,$AH$9:$AI$23,2))</f>
        <v>#VALUE!</v>
      </c>
      <c r="Q181" s="288" t="e">
        <f>SUM(P181:P$190)/$A181/((3*3^0.5/2)*N181^2)</f>
        <v>#VALUE!</v>
      </c>
      <c r="R181" s="201" t="e">
        <f t="shared" si="55"/>
        <v>#VALUE!</v>
      </c>
      <c r="S181" s="99" t="e">
        <f t="shared" si="56"/>
        <v>#VALUE!</v>
      </c>
      <c r="T181" s="22" t="e">
        <f t="shared" si="66"/>
        <v>#VALUE!</v>
      </c>
      <c r="U181" s="22" t="e">
        <f t="shared" si="67"/>
        <v>#VALUE!</v>
      </c>
      <c r="V181" s="22" t="e">
        <f>VLOOKUP(U181,'3-SNR-Chan SE vs Range'!$Y$9:$Z$23,2)</f>
        <v>#VALUE!</v>
      </c>
      <c r="W181" s="288" t="e">
        <f>SUM(V181:V$190)/$A181/((3*3^0.5/2)*T181^2)</f>
        <v>#VALUE!</v>
      </c>
      <c r="X181" s="201" t="e">
        <f t="shared" si="57"/>
        <v>#VALUE!</v>
      </c>
      <c r="Y181" s="99" t="e">
        <f t="shared" si="58"/>
        <v>#VALUE!</v>
      </c>
    </row>
    <row r="182" spans="1:25">
      <c r="A182">
        <f t="shared" si="59"/>
        <v>9</v>
      </c>
      <c r="B182" s="22" t="e">
        <f t="shared" si="60"/>
        <v>#VALUE!</v>
      </c>
      <c r="C182" s="22" t="e">
        <f t="shared" si="61"/>
        <v>#VALUE!</v>
      </c>
      <c r="D182" s="22" t="e">
        <f>IF($I$6="UL",VLOOKUP(C182,'3-SNR-Chan SE vs Range'!$Y$9:$Z$23,2),VLOOKUP(C182,$AH$9:$AI$23,2))</f>
        <v>#VALUE!</v>
      </c>
      <c r="E182" s="288" t="e">
        <f>SUM(D182:D$190)/$A182/((3*3^0.5/2)*B182^2)</f>
        <v>#VALUE!</v>
      </c>
      <c r="F182" s="201" t="e">
        <f t="shared" si="51"/>
        <v>#VALUE!</v>
      </c>
      <c r="G182" s="99" t="e">
        <f t="shared" si="52"/>
        <v>#VALUE!</v>
      </c>
      <c r="H182" s="22" t="e">
        <f t="shared" si="62"/>
        <v>#VALUE!</v>
      </c>
      <c r="I182" s="22" t="e">
        <f t="shared" si="63"/>
        <v>#VALUE!</v>
      </c>
      <c r="J182" s="22" t="e">
        <f>IF($I$6="UL",VLOOKUP(I182,'3-SNR-Chan SE vs Range'!$Y$9:$Z$23,2),VLOOKUP(I182,$AH$9:$AI$23,2))</f>
        <v>#VALUE!</v>
      </c>
      <c r="K182" s="288" t="e">
        <f>SUM(J182:J$190)/$A182/((3*3^0.5/2)*H182^2)</f>
        <v>#VALUE!</v>
      </c>
      <c r="L182" s="201" t="e">
        <f t="shared" si="53"/>
        <v>#VALUE!</v>
      </c>
      <c r="M182" s="99" t="e">
        <f t="shared" si="54"/>
        <v>#VALUE!</v>
      </c>
      <c r="N182" s="22" t="e">
        <f t="shared" si="64"/>
        <v>#VALUE!</v>
      </c>
      <c r="O182" s="22" t="e">
        <f t="shared" si="65"/>
        <v>#VALUE!</v>
      </c>
      <c r="P182" s="22" t="e">
        <f>IF($I$6="UL",VLOOKUP(O182,'3-SNR-Chan SE vs Range'!$Y$9:$Z$23,2),VLOOKUP(O182,$AH$9:$AI$23,2))</f>
        <v>#VALUE!</v>
      </c>
      <c r="Q182" s="288" t="e">
        <f>SUM(P182:P$190)/$A182/((3*3^0.5/2)*N182^2)</f>
        <v>#VALUE!</v>
      </c>
      <c r="R182" s="201" t="e">
        <f t="shared" si="55"/>
        <v>#VALUE!</v>
      </c>
      <c r="S182" s="99" t="e">
        <f t="shared" si="56"/>
        <v>#VALUE!</v>
      </c>
      <c r="T182" s="22" t="e">
        <f t="shared" si="66"/>
        <v>#VALUE!</v>
      </c>
      <c r="U182" s="22" t="e">
        <f t="shared" si="67"/>
        <v>#VALUE!</v>
      </c>
      <c r="V182" s="22" t="e">
        <f>VLOOKUP(U182,'3-SNR-Chan SE vs Range'!$Y$9:$Z$23,2)</f>
        <v>#VALUE!</v>
      </c>
      <c r="W182" s="288" t="e">
        <f>SUM(V182:V$190)/$A182/((3*3^0.5/2)*T182^2)</f>
        <v>#VALUE!</v>
      </c>
      <c r="X182" s="201" t="e">
        <f t="shared" si="57"/>
        <v>#VALUE!</v>
      </c>
      <c r="Y182" s="99" t="e">
        <f t="shared" si="58"/>
        <v>#VALUE!</v>
      </c>
    </row>
    <row r="183" spans="1:25">
      <c r="A183">
        <f t="shared" si="59"/>
        <v>8</v>
      </c>
      <c r="B183" s="22" t="e">
        <f t="shared" si="60"/>
        <v>#VALUE!</v>
      </c>
      <c r="C183" s="22" t="e">
        <f t="shared" si="61"/>
        <v>#VALUE!</v>
      </c>
      <c r="D183" s="22" t="e">
        <f>IF($I$6="UL",VLOOKUP(C183,'3-SNR-Chan SE vs Range'!$Y$9:$Z$23,2),VLOOKUP(C183,$AH$9:$AI$23,2))</f>
        <v>#VALUE!</v>
      </c>
      <c r="E183" s="288" t="e">
        <f>SUM(D183:D$190)/$A183/((3*3^0.5/2)*B183^2)</f>
        <v>#VALUE!</v>
      </c>
      <c r="F183" s="201" t="e">
        <f t="shared" si="51"/>
        <v>#VALUE!</v>
      </c>
      <c r="G183" s="99" t="e">
        <f t="shared" si="52"/>
        <v>#VALUE!</v>
      </c>
      <c r="H183" s="22" t="e">
        <f t="shared" si="62"/>
        <v>#VALUE!</v>
      </c>
      <c r="I183" s="22" t="e">
        <f t="shared" si="63"/>
        <v>#VALUE!</v>
      </c>
      <c r="J183" s="22" t="e">
        <f>IF($I$6="UL",VLOOKUP(I183,'3-SNR-Chan SE vs Range'!$Y$9:$Z$23,2),VLOOKUP(I183,$AH$9:$AI$23,2))</f>
        <v>#VALUE!</v>
      </c>
      <c r="K183" s="288" t="e">
        <f>SUM(J183:J$190)/$A183/((3*3^0.5/2)*H183^2)</f>
        <v>#VALUE!</v>
      </c>
      <c r="L183" s="201" t="e">
        <f t="shared" si="53"/>
        <v>#VALUE!</v>
      </c>
      <c r="M183" s="99" t="e">
        <f t="shared" si="54"/>
        <v>#VALUE!</v>
      </c>
      <c r="N183" s="22" t="e">
        <f t="shared" si="64"/>
        <v>#VALUE!</v>
      </c>
      <c r="O183" s="22" t="e">
        <f t="shared" si="65"/>
        <v>#VALUE!</v>
      </c>
      <c r="P183" s="22" t="e">
        <f>IF($I$6="UL",VLOOKUP(O183,'3-SNR-Chan SE vs Range'!$Y$9:$Z$23,2),VLOOKUP(O183,$AH$9:$AI$23,2))</f>
        <v>#VALUE!</v>
      </c>
      <c r="Q183" s="288" t="e">
        <f>SUM(P183:P$190)/$A183/((3*3^0.5/2)*N183^2)</f>
        <v>#VALUE!</v>
      </c>
      <c r="R183" s="201" t="e">
        <f t="shared" si="55"/>
        <v>#VALUE!</v>
      </c>
      <c r="S183" s="99" t="e">
        <f t="shared" si="56"/>
        <v>#VALUE!</v>
      </c>
      <c r="T183" s="22" t="e">
        <f t="shared" si="66"/>
        <v>#VALUE!</v>
      </c>
      <c r="U183" s="22" t="e">
        <f t="shared" si="67"/>
        <v>#VALUE!</v>
      </c>
      <c r="V183" s="22" t="e">
        <f>VLOOKUP(U183,'3-SNR-Chan SE vs Range'!$Y$9:$Z$23,2)</f>
        <v>#VALUE!</v>
      </c>
      <c r="W183" s="288" t="e">
        <f>SUM(V183:V$190)/$A183/((3*3^0.5/2)*T183^2)</f>
        <v>#VALUE!</v>
      </c>
      <c r="X183" s="201" t="e">
        <f t="shared" si="57"/>
        <v>#VALUE!</v>
      </c>
      <c r="Y183" s="99" t="e">
        <f t="shared" si="58"/>
        <v>#VALUE!</v>
      </c>
    </row>
    <row r="184" spans="1:25">
      <c r="A184">
        <f t="shared" si="59"/>
        <v>7</v>
      </c>
      <c r="B184" s="22" t="e">
        <f t="shared" si="60"/>
        <v>#VALUE!</v>
      </c>
      <c r="C184" s="22" t="e">
        <f t="shared" si="61"/>
        <v>#VALUE!</v>
      </c>
      <c r="D184" s="22" t="e">
        <f>IF($I$6="UL",VLOOKUP(C184,'3-SNR-Chan SE vs Range'!$Y$9:$Z$23,2),VLOOKUP(C184,$AH$9:$AI$23,2))</f>
        <v>#VALUE!</v>
      </c>
      <c r="E184" s="288" t="e">
        <f>SUM(D184:D$190)/$A184/((3*3^0.5/2)*B184^2)</f>
        <v>#VALUE!</v>
      </c>
      <c r="F184" s="201" t="e">
        <f t="shared" si="51"/>
        <v>#VALUE!</v>
      </c>
      <c r="G184" s="99" t="e">
        <f t="shared" si="52"/>
        <v>#VALUE!</v>
      </c>
      <c r="H184" s="22" t="e">
        <f t="shared" si="62"/>
        <v>#VALUE!</v>
      </c>
      <c r="I184" s="22" t="e">
        <f t="shared" si="63"/>
        <v>#VALUE!</v>
      </c>
      <c r="J184" s="22" t="e">
        <f>IF($I$6="UL",VLOOKUP(I184,'3-SNR-Chan SE vs Range'!$Y$9:$Z$23,2),VLOOKUP(I184,$AH$9:$AI$23,2))</f>
        <v>#VALUE!</v>
      </c>
      <c r="K184" s="288" t="e">
        <f>SUM(J184:J$190)/$A184/((3*3^0.5/2)*H184^2)</f>
        <v>#VALUE!</v>
      </c>
      <c r="L184" s="201" t="e">
        <f t="shared" si="53"/>
        <v>#VALUE!</v>
      </c>
      <c r="M184" s="99" t="e">
        <f t="shared" si="54"/>
        <v>#VALUE!</v>
      </c>
      <c r="N184" s="22" t="e">
        <f t="shared" si="64"/>
        <v>#VALUE!</v>
      </c>
      <c r="O184" s="22" t="e">
        <f t="shared" si="65"/>
        <v>#VALUE!</v>
      </c>
      <c r="P184" s="22" t="e">
        <f>IF($I$6="UL",VLOOKUP(O184,'3-SNR-Chan SE vs Range'!$Y$9:$Z$23,2),VLOOKUP(O184,$AH$9:$AI$23,2))</f>
        <v>#VALUE!</v>
      </c>
      <c r="Q184" s="288" t="e">
        <f>SUM(P184:P$190)/$A184/((3*3^0.5/2)*N184^2)</f>
        <v>#VALUE!</v>
      </c>
      <c r="R184" s="201" t="e">
        <f t="shared" si="55"/>
        <v>#VALUE!</v>
      </c>
      <c r="S184" s="99" t="e">
        <f t="shared" si="56"/>
        <v>#VALUE!</v>
      </c>
      <c r="T184" s="22" t="e">
        <f t="shared" si="66"/>
        <v>#VALUE!</v>
      </c>
      <c r="U184" s="22" t="e">
        <f t="shared" si="67"/>
        <v>#VALUE!</v>
      </c>
      <c r="V184" s="22" t="e">
        <f>VLOOKUP(U184,'3-SNR-Chan SE vs Range'!$Y$9:$Z$23,2)</f>
        <v>#VALUE!</v>
      </c>
      <c r="W184" s="288" t="e">
        <f>SUM(V184:V$190)/$A184/((3*3^0.5/2)*T184^2)</f>
        <v>#VALUE!</v>
      </c>
      <c r="X184" s="201" t="e">
        <f t="shared" si="57"/>
        <v>#VALUE!</v>
      </c>
      <c r="Y184" s="99" t="e">
        <f t="shared" si="58"/>
        <v>#VALUE!</v>
      </c>
    </row>
    <row r="185" spans="1:25">
      <c r="A185">
        <f t="shared" si="59"/>
        <v>6</v>
      </c>
      <c r="B185" s="22" t="e">
        <f t="shared" si="60"/>
        <v>#VALUE!</v>
      </c>
      <c r="C185" s="22" t="e">
        <f t="shared" si="61"/>
        <v>#VALUE!</v>
      </c>
      <c r="D185" s="22" t="e">
        <f>IF($I$6="UL",VLOOKUP(C185,'3-SNR-Chan SE vs Range'!$Y$9:$Z$23,2),VLOOKUP(C185,$AH$9:$AI$23,2))</f>
        <v>#VALUE!</v>
      </c>
      <c r="E185" s="288" t="e">
        <f>SUM(D185:D$190)/$A185/((3*3^0.5/2)*B185^2)</f>
        <v>#VALUE!</v>
      </c>
      <c r="F185" s="201" t="e">
        <f t="shared" si="51"/>
        <v>#VALUE!</v>
      </c>
      <c r="G185" s="99" t="e">
        <f t="shared" si="52"/>
        <v>#VALUE!</v>
      </c>
      <c r="H185" s="22" t="e">
        <f t="shared" si="62"/>
        <v>#VALUE!</v>
      </c>
      <c r="I185" s="22" t="e">
        <f t="shared" si="63"/>
        <v>#VALUE!</v>
      </c>
      <c r="J185" s="22" t="e">
        <f>IF($I$6="UL",VLOOKUP(I185,'3-SNR-Chan SE vs Range'!$Y$9:$Z$23,2),VLOOKUP(I185,$AH$9:$AI$23,2))</f>
        <v>#VALUE!</v>
      </c>
      <c r="K185" s="288" t="e">
        <f>SUM(J185:J$190)/$A185/((3*3^0.5/2)*H185^2)</f>
        <v>#VALUE!</v>
      </c>
      <c r="L185" s="201" t="e">
        <f t="shared" si="53"/>
        <v>#VALUE!</v>
      </c>
      <c r="M185" s="99" t="e">
        <f t="shared" si="54"/>
        <v>#VALUE!</v>
      </c>
      <c r="N185" s="22" t="e">
        <f t="shared" si="64"/>
        <v>#VALUE!</v>
      </c>
      <c r="O185" s="22" t="e">
        <f t="shared" si="65"/>
        <v>#VALUE!</v>
      </c>
      <c r="P185" s="22" t="e">
        <f>IF($I$6="UL",VLOOKUP(O185,'3-SNR-Chan SE vs Range'!$Y$9:$Z$23,2),VLOOKUP(O185,$AH$9:$AI$23,2))</f>
        <v>#VALUE!</v>
      </c>
      <c r="Q185" s="288" t="e">
        <f>SUM(P185:P$190)/$A185/((3*3^0.5/2)*N185^2)</f>
        <v>#VALUE!</v>
      </c>
      <c r="R185" s="201" t="e">
        <f t="shared" si="55"/>
        <v>#VALUE!</v>
      </c>
      <c r="S185" s="99" t="e">
        <f t="shared" si="56"/>
        <v>#VALUE!</v>
      </c>
      <c r="T185" s="22" t="e">
        <f t="shared" si="66"/>
        <v>#VALUE!</v>
      </c>
      <c r="U185" s="22" t="e">
        <f t="shared" si="67"/>
        <v>#VALUE!</v>
      </c>
      <c r="V185" s="22" t="e">
        <f>VLOOKUP(U185,'3-SNR-Chan SE vs Range'!$Y$9:$Z$23,2)</f>
        <v>#VALUE!</v>
      </c>
      <c r="W185" s="288" t="e">
        <f>SUM(V185:V$190)/$A185/((3*3^0.5/2)*T185^2)</f>
        <v>#VALUE!</v>
      </c>
      <c r="X185" s="201" t="e">
        <f t="shared" si="57"/>
        <v>#VALUE!</v>
      </c>
      <c r="Y185" s="99" t="e">
        <f t="shared" si="58"/>
        <v>#VALUE!</v>
      </c>
    </row>
    <row r="186" spans="1:25">
      <c r="A186">
        <f t="shared" si="59"/>
        <v>5</v>
      </c>
      <c r="B186" s="22" t="e">
        <f t="shared" si="60"/>
        <v>#VALUE!</v>
      </c>
      <c r="C186" s="22" t="e">
        <f t="shared" si="61"/>
        <v>#VALUE!</v>
      </c>
      <c r="D186" s="22" t="e">
        <f>IF($I$6="UL",VLOOKUP(C186,'3-SNR-Chan SE vs Range'!$Y$9:$Z$23,2),VLOOKUP(C186,$AH$9:$AI$23,2))</f>
        <v>#VALUE!</v>
      </c>
      <c r="E186" s="288" t="e">
        <f>SUM(D186:D$190)/$A186/((3*3^0.5/2)*B186^2)</f>
        <v>#VALUE!</v>
      </c>
      <c r="F186" s="201" t="e">
        <f t="shared" si="51"/>
        <v>#VALUE!</v>
      </c>
      <c r="G186" s="99" t="e">
        <f t="shared" si="52"/>
        <v>#VALUE!</v>
      </c>
      <c r="H186" s="22" t="e">
        <f t="shared" si="62"/>
        <v>#VALUE!</v>
      </c>
      <c r="I186" s="22" t="e">
        <f t="shared" si="63"/>
        <v>#VALUE!</v>
      </c>
      <c r="J186" s="22" t="e">
        <f>IF($I$6="UL",VLOOKUP(I186,'3-SNR-Chan SE vs Range'!$Y$9:$Z$23,2),VLOOKUP(I186,$AH$9:$AI$23,2))</f>
        <v>#VALUE!</v>
      </c>
      <c r="K186" s="288" t="e">
        <f>SUM(J186:J$190)/$A186/((3*3^0.5/2)*H186^2)</f>
        <v>#VALUE!</v>
      </c>
      <c r="L186" s="201" t="e">
        <f t="shared" si="53"/>
        <v>#VALUE!</v>
      </c>
      <c r="M186" s="99" t="e">
        <f t="shared" si="54"/>
        <v>#VALUE!</v>
      </c>
      <c r="N186" s="22" t="e">
        <f t="shared" si="64"/>
        <v>#VALUE!</v>
      </c>
      <c r="O186" s="22" t="e">
        <f t="shared" si="65"/>
        <v>#VALUE!</v>
      </c>
      <c r="P186" s="22" t="e">
        <f>IF($I$6="UL",VLOOKUP(O186,'3-SNR-Chan SE vs Range'!$Y$9:$Z$23,2),VLOOKUP(O186,$AH$9:$AI$23,2))</f>
        <v>#VALUE!</v>
      </c>
      <c r="Q186" s="288" t="e">
        <f>SUM(P186:P$190)/$A186/((3*3^0.5/2)*N186^2)</f>
        <v>#VALUE!</v>
      </c>
      <c r="R186" s="201" t="e">
        <f t="shared" si="55"/>
        <v>#VALUE!</v>
      </c>
      <c r="S186" s="99" t="e">
        <f t="shared" si="56"/>
        <v>#VALUE!</v>
      </c>
      <c r="T186" s="22" t="e">
        <f t="shared" si="66"/>
        <v>#VALUE!</v>
      </c>
      <c r="U186" s="22" t="e">
        <f t="shared" si="67"/>
        <v>#VALUE!</v>
      </c>
      <c r="V186" s="22" t="e">
        <f>VLOOKUP(U186,'3-SNR-Chan SE vs Range'!$Y$9:$Z$23,2)</f>
        <v>#VALUE!</v>
      </c>
      <c r="W186" s="288" t="e">
        <f>SUM(V186:V$190)/$A186/((3*3^0.5/2)*T186^2)</f>
        <v>#VALUE!</v>
      </c>
      <c r="X186" s="201" t="e">
        <f t="shared" si="57"/>
        <v>#VALUE!</v>
      </c>
      <c r="Y186" s="99" t="e">
        <f t="shared" si="58"/>
        <v>#VALUE!</v>
      </c>
    </row>
    <row r="187" spans="1:25">
      <c r="A187">
        <f t="shared" si="59"/>
        <v>4</v>
      </c>
      <c r="B187" s="22" t="e">
        <f t="shared" si="60"/>
        <v>#VALUE!</v>
      </c>
      <c r="C187" s="22" t="e">
        <f t="shared" si="61"/>
        <v>#VALUE!</v>
      </c>
      <c r="D187" s="22" t="e">
        <f>IF($I$6="UL",VLOOKUP(C187,'3-SNR-Chan SE vs Range'!$Y$9:$Z$23,2),VLOOKUP(C187,$AH$9:$AI$23,2))</f>
        <v>#VALUE!</v>
      </c>
      <c r="E187" s="288" t="e">
        <f>SUM(D187:D$190)/$A187/((3*3^0.5/2)*B187^2)</f>
        <v>#VALUE!</v>
      </c>
      <c r="F187" s="201" t="e">
        <f t="shared" si="51"/>
        <v>#VALUE!</v>
      </c>
      <c r="G187" s="99" t="e">
        <f t="shared" si="52"/>
        <v>#VALUE!</v>
      </c>
      <c r="H187" s="22" t="e">
        <f t="shared" si="62"/>
        <v>#VALUE!</v>
      </c>
      <c r="I187" s="22" t="e">
        <f t="shared" si="63"/>
        <v>#VALUE!</v>
      </c>
      <c r="J187" s="22" t="e">
        <f>IF($I$6="UL",VLOOKUP(I187,'3-SNR-Chan SE vs Range'!$Y$9:$Z$23,2),VLOOKUP(I187,$AH$9:$AI$23,2))</f>
        <v>#VALUE!</v>
      </c>
      <c r="K187" s="288" t="e">
        <f>SUM(J187:J$190)/$A187/((3*3^0.5/2)*H187^2)</f>
        <v>#VALUE!</v>
      </c>
      <c r="L187" s="201" t="e">
        <f t="shared" si="53"/>
        <v>#VALUE!</v>
      </c>
      <c r="M187" s="99" t="e">
        <f t="shared" si="54"/>
        <v>#VALUE!</v>
      </c>
      <c r="N187" s="22" t="e">
        <f t="shared" si="64"/>
        <v>#VALUE!</v>
      </c>
      <c r="O187" s="22" t="e">
        <f t="shared" si="65"/>
        <v>#VALUE!</v>
      </c>
      <c r="P187" s="22" t="e">
        <f>IF($I$6="UL",VLOOKUP(O187,'3-SNR-Chan SE vs Range'!$Y$9:$Z$23,2),VLOOKUP(O187,$AH$9:$AI$23,2))</f>
        <v>#VALUE!</v>
      </c>
      <c r="Q187" s="288" t="e">
        <f>SUM(P187:P$190)/$A187/((3*3^0.5/2)*N187^2)</f>
        <v>#VALUE!</v>
      </c>
      <c r="R187" s="201" t="e">
        <f t="shared" si="55"/>
        <v>#VALUE!</v>
      </c>
      <c r="S187" s="99" t="e">
        <f t="shared" si="56"/>
        <v>#VALUE!</v>
      </c>
      <c r="T187" s="22" t="e">
        <f t="shared" si="66"/>
        <v>#VALUE!</v>
      </c>
      <c r="U187" s="22" t="e">
        <f t="shared" si="67"/>
        <v>#VALUE!</v>
      </c>
      <c r="V187" s="22" t="e">
        <f>VLOOKUP(U187,'3-SNR-Chan SE vs Range'!$Y$9:$Z$23,2)</f>
        <v>#VALUE!</v>
      </c>
      <c r="W187" s="288" t="e">
        <f>SUM(V187:V$190)/$A187/((3*3^0.5/2)*T187^2)</f>
        <v>#VALUE!</v>
      </c>
      <c r="X187" s="201" t="e">
        <f t="shared" si="57"/>
        <v>#VALUE!</v>
      </c>
      <c r="Y187" s="99" t="e">
        <f t="shared" si="58"/>
        <v>#VALUE!</v>
      </c>
    </row>
    <row r="188" spans="1:25">
      <c r="A188">
        <f t="shared" si="59"/>
        <v>3</v>
      </c>
      <c r="B188" s="22" t="e">
        <f t="shared" si="60"/>
        <v>#VALUE!</v>
      </c>
      <c r="C188" s="22" t="e">
        <f t="shared" si="61"/>
        <v>#VALUE!</v>
      </c>
      <c r="D188" s="22" t="e">
        <f>IF($I$6="UL",VLOOKUP(C188,'3-SNR-Chan SE vs Range'!$Y$9:$Z$23,2),VLOOKUP(C188,$AH$9:$AI$23,2))</f>
        <v>#VALUE!</v>
      </c>
      <c r="E188" s="288" t="e">
        <f>SUM(D188:D$190)/$A188/((3*3^0.5/2)*B188^2)</f>
        <v>#VALUE!</v>
      </c>
      <c r="F188" s="201" t="e">
        <f t="shared" si="51"/>
        <v>#VALUE!</v>
      </c>
      <c r="G188" s="99" t="e">
        <f t="shared" si="52"/>
        <v>#VALUE!</v>
      </c>
      <c r="H188" s="22" t="e">
        <f t="shared" si="62"/>
        <v>#VALUE!</v>
      </c>
      <c r="I188" s="22" t="e">
        <f t="shared" si="63"/>
        <v>#VALUE!</v>
      </c>
      <c r="J188" s="22" t="e">
        <f>IF($I$6="UL",VLOOKUP(I188,'3-SNR-Chan SE vs Range'!$Y$9:$Z$23,2),VLOOKUP(I188,$AH$9:$AI$23,2))</f>
        <v>#VALUE!</v>
      </c>
      <c r="K188" s="288" t="e">
        <f>SUM(J188:J$190)/$A188/((3*3^0.5/2)*H188^2)</f>
        <v>#VALUE!</v>
      </c>
      <c r="L188" s="201" t="e">
        <f t="shared" si="53"/>
        <v>#VALUE!</v>
      </c>
      <c r="M188" s="99" t="e">
        <f t="shared" si="54"/>
        <v>#VALUE!</v>
      </c>
      <c r="N188" s="22" t="e">
        <f t="shared" si="64"/>
        <v>#VALUE!</v>
      </c>
      <c r="O188" s="22" t="e">
        <f t="shared" si="65"/>
        <v>#VALUE!</v>
      </c>
      <c r="P188" s="22" t="e">
        <f>IF($I$6="UL",VLOOKUP(O188,'3-SNR-Chan SE vs Range'!$Y$9:$Z$23,2),VLOOKUP(O188,$AH$9:$AI$23,2))</f>
        <v>#VALUE!</v>
      </c>
      <c r="Q188" s="288" t="e">
        <f>SUM(P188:P$190)/$A188/((3*3^0.5/2)*N188^2)</f>
        <v>#VALUE!</v>
      </c>
      <c r="R188" s="201" t="e">
        <f t="shared" si="55"/>
        <v>#VALUE!</v>
      </c>
      <c r="S188" s="99" t="e">
        <f t="shared" si="56"/>
        <v>#VALUE!</v>
      </c>
      <c r="T188" s="22" t="e">
        <f t="shared" si="66"/>
        <v>#VALUE!</v>
      </c>
      <c r="U188" s="22" t="e">
        <f t="shared" si="67"/>
        <v>#VALUE!</v>
      </c>
      <c r="V188" s="22" t="e">
        <f>VLOOKUP(U188,'3-SNR-Chan SE vs Range'!$Y$9:$Z$23,2)</f>
        <v>#VALUE!</v>
      </c>
      <c r="W188" s="288" t="e">
        <f>SUM(V188:V$190)/$A188/((3*3^0.5/2)*T188^2)</f>
        <v>#VALUE!</v>
      </c>
      <c r="X188" s="201" t="e">
        <f t="shared" si="57"/>
        <v>#VALUE!</v>
      </c>
      <c r="Y188" s="99" t="e">
        <f t="shared" si="58"/>
        <v>#VALUE!</v>
      </c>
    </row>
    <row r="189" spans="1:25">
      <c r="A189">
        <f t="shared" si="59"/>
        <v>2</v>
      </c>
      <c r="B189" s="22" t="e">
        <f t="shared" si="60"/>
        <v>#VALUE!</v>
      </c>
      <c r="C189" s="22" t="e">
        <f t="shared" si="61"/>
        <v>#VALUE!</v>
      </c>
      <c r="D189" s="22" t="e">
        <f>IF($I$6="UL",VLOOKUP(C189,'3-SNR-Chan SE vs Range'!$Y$9:$Z$23,2),VLOOKUP(C189,$AH$9:$AI$23,2))</f>
        <v>#VALUE!</v>
      </c>
      <c r="E189" s="288" t="e">
        <f>SUM(D189:D$190)/$A189/((3*3^0.5/2)*B189^2)</f>
        <v>#VALUE!</v>
      </c>
      <c r="F189" s="201" t="e">
        <f t="shared" si="51"/>
        <v>#VALUE!</v>
      </c>
      <c r="G189" s="99" t="e">
        <f t="shared" si="52"/>
        <v>#VALUE!</v>
      </c>
      <c r="H189" s="22" t="e">
        <f t="shared" si="62"/>
        <v>#VALUE!</v>
      </c>
      <c r="I189" s="22" t="e">
        <f t="shared" si="63"/>
        <v>#VALUE!</v>
      </c>
      <c r="J189" s="22" t="e">
        <f>IF($I$6="UL",VLOOKUP(I189,'3-SNR-Chan SE vs Range'!$Y$9:$Z$23,2),VLOOKUP(I189,$AH$9:$AI$23,2))</f>
        <v>#VALUE!</v>
      </c>
      <c r="K189" s="288" t="e">
        <f>SUM(J189:J$190)/$A189/((3*3^0.5/2)*H189^2)</f>
        <v>#VALUE!</v>
      </c>
      <c r="L189" s="201" t="e">
        <f t="shared" si="53"/>
        <v>#VALUE!</v>
      </c>
      <c r="M189" s="99" t="e">
        <f t="shared" si="54"/>
        <v>#VALUE!</v>
      </c>
      <c r="N189" s="22" t="e">
        <f t="shared" si="64"/>
        <v>#VALUE!</v>
      </c>
      <c r="O189" s="22" t="e">
        <f t="shared" si="65"/>
        <v>#VALUE!</v>
      </c>
      <c r="P189" s="22" t="e">
        <f>IF($I$6="UL",VLOOKUP(O189,'3-SNR-Chan SE vs Range'!$Y$9:$Z$23,2),VLOOKUP(O189,$AH$9:$AI$23,2))</f>
        <v>#VALUE!</v>
      </c>
      <c r="Q189" s="288" t="e">
        <f>SUM(P189:P$190)/$A189/((3*3^0.5/2)*N189^2)</f>
        <v>#VALUE!</v>
      </c>
      <c r="R189" s="201" t="e">
        <f t="shared" si="55"/>
        <v>#VALUE!</v>
      </c>
      <c r="S189" s="99" t="e">
        <f t="shared" si="56"/>
        <v>#VALUE!</v>
      </c>
      <c r="T189" s="22" t="e">
        <f t="shared" si="66"/>
        <v>#VALUE!</v>
      </c>
      <c r="U189" s="22" t="e">
        <f t="shared" si="67"/>
        <v>#VALUE!</v>
      </c>
      <c r="V189" s="22" t="e">
        <f>VLOOKUP(U189,'3-SNR-Chan SE vs Range'!$Y$9:$Z$23,2)</f>
        <v>#VALUE!</v>
      </c>
      <c r="W189" s="288" t="e">
        <f>SUM(V189:V$190)/$A189/((3*3^0.5/2)*T189^2)</f>
        <v>#VALUE!</v>
      </c>
      <c r="X189" s="201" t="e">
        <f t="shared" si="57"/>
        <v>#VALUE!</v>
      </c>
      <c r="Y189" s="99" t="e">
        <f t="shared" si="58"/>
        <v>#VALUE!</v>
      </c>
    </row>
    <row r="190" spans="1:25">
      <c r="A190">
        <f t="shared" si="59"/>
        <v>1</v>
      </c>
      <c r="B190" s="22" t="e">
        <f t="shared" si="60"/>
        <v>#VALUE!</v>
      </c>
      <c r="C190" s="22" t="e">
        <f t="shared" si="61"/>
        <v>#VALUE!</v>
      </c>
      <c r="D190" s="22" t="e">
        <f>IF($I$6="UL",VLOOKUP(C190,'3-SNR-Chan SE vs Range'!$Y$9:$Z$23,2),VLOOKUP(C190,$AH$9:$AI$23,2))</f>
        <v>#VALUE!</v>
      </c>
      <c r="E190" s="288" t="e">
        <f>SUM(D190:D$190)/$A190/((3*3^0.5/2)*B190^2)</f>
        <v>#VALUE!</v>
      </c>
      <c r="F190" s="201" t="e">
        <f t="shared" si="51"/>
        <v>#VALUE!</v>
      </c>
      <c r="G190" s="99" t="e">
        <f t="shared" si="52"/>
        <v>#VALUE!</v>
      </c>
      <c r="H190" s="22" t="e">
        <f t="shared" si="62"/>
        <v>#VALUE!</v>
      </c>
      <c r="I190" s="22" t="e">
        <f t="shared" si="63"/>
        <v>#VALUE!</v>
      </c>
      <c r="J190" s="22" t="e">
        <f>IF($I$6="UL",VLOOKUP(I190,'3-SNR-Chan SE vs Range'!$Y$9:$Z$23,2),VLOOKUP(I190,$AH$9:$AI$23,2))</f>
        <v>#VALUE!</v>
      </c>
      <c r="K190" s="288" t="e">
        <f>SUM(J190:J$190)/$A190/((3*3^0.5/2)*H190^2)</f>
        <v>#VALUE!</v>
      </c>
      <c r="L190" s="201" t="e">
        <f t="shared" si="53"/>
        <v>#VALUE!</v>
      </c>
      <c r="M190" s="99" t="e">
        <f t="shared" si="54"/>
        <v>#VALUE!</v>
      </c>
      <c r="N190" s="22" t="e">
        <f t="shared" si="64"/>
        <v>#VALUE!</v>
      </c>
      <c r="O190" s="22" t="e">
        <f t="shared" si="65"/>
        <v>#VALUE!</v>
      </c>
      <c r="P190" s="22" t="e">
        <f>IF($I$6="UL",VLOOKUP(O190,'3-SNR-Chan SE vs Range'!$Y$9:$Z$23,2),VLOOKUP(O190,$AH$9:$AI$23,2))</f>
        <v>#VALUE!</v>
      </c>
      <c r="Q190" s="288" t="e">
        <f>SUM(P190:P$190)/$A190/((3*3^0.5/2)*N190^2)</f>
        <v>#VALUE!</v>
      </c>
      <c r="R190" s="201" t="e">
        <f t="shared" si="55"/>
        <v>#VALUE!</v>
      </c>
      <c r="S190" s="99" t="e">
        <f t="shared" si="56"/>
        <v>#VALUE!</v>
      </c>
      <c r="T190" s="22" t="e">
        <f t="shared" si="66"/>
        <v>#VALUE!</v>
      </c>
      <c r="U190" s="22" t="e">
        <f t="shared" si="67"/>
        <v>#VALUE!</v>
      </c>
      <c r="V190" s="22" t="e">
        <f>VLOOKUP(U190,'3-SNR-Chan SE vs Range'!$Y$9:$Z$23,2)</f>
        <v>#VALUE!</v>
      </c>
      <c r="W190" s="288" t="e">
        <f>SUM(V190:V$190)/$A190/((3*3^0.5/2)*T190^2)</f>
        <v>#VALUE!</v>
      </c>
      <c r="X190" s="201" t="e">
        <f t="shared" si="57"/>
        <v>#VALUE!</v>
      </c>
      <c r="Y190" s="99" t="e">
        <f t="shared" si="58"/>
        <v>#VALUE!</v>
      </c>
    </row>
    <row r="191" spans="1:25">
      <c r="A191">
        <f t="shared" si="59"/>
        <v>0</v>
      </c>
      <c r="B191" s="15">
        <f>0.05</f>
        <v>0.05</v>
      </c>
      <c r="C191" s="22" t="e">
        <f t="shared" si="61"/>
        <v>#VALUE!</v>
      </c>
      <c r="D191" s="22" t="e">
        <f>IF($I$6="UL",VLOOKUP(C191,'3-SNR-Chan SE vs Range'!$Y$9:$Z$23,2),VLOOKUP(C191,$AH$9:$AI$23,2))</f>
        <v>#VALUE!</v>
      </c>
      <c r="E191" s="288"/>
      <c r="F191" s="201">
        <f t="shared" si="51"/>
        <v>0.05</v>
      </c>
      <c r="G191" s="99" t="e">
        <f>B191^2/B$166^2</f>
        <v>#VALUE!</v>
      </c>
      <c r="H191" s="15">
        <f>B191</f>
        <v>0.05</v>
      </c>
      <c r="I191" s="22" t="e">
        <f t="shared" si="63"/>
        <v>#VALUE!</v>
      </c>
      <c r="J191" s="22" t="e">
        <f>IF($I$6="UL",VLOOKUP(I191,'3-SNR-Chan SE vs Range'!$Y$9:$Z$23,2),VLOOKUP(I191,$AH$9:$AI$23,2))</f>
        <v>#VALUE!</v>
      </c>
      <c r="K191" s="288"/>
      <c r="L191" s="201">
        <f t="shared" si="53"/>
        <v>0.05</v>
      </c>
      <c r="M191" s="99" t="e">
        <f>H191^2/H$166^2</f>
        <v>#VALUE!</v>
      </c>
      <c r="N191" s="15">
        <f>H191</f>
        <v>0.05</v>
      </c>
      <c r="O191" s="22" t="e">
        <f t="shared" si="65"/>
        <v>#VALUE!</v>
      </c>
      <c r="P191" s="22" t="e">
        <f>IF($I$6="UL",VLOOKUP(O191,'3-SNR-Chan SE vs Range'!$Y$9:$Z$23,2),VLOOKUP(O191,$AH$9:$AI$23,2))</f>
        <v>#VALUE!</v>
      </c>
      <c r="Q191" s="288"/>
      <c r="R191" s="201">
        <f t="shared" si="55"/>
        <v>0.05</v>
      </c>
      <c r="S191" s="99" t="e">
        <f>N191^2/N$166^2</f>
        <v>#VALUE!</v>
      </c>
      <c r="T191" s="15">
        <f>N191</f>
        <v>0.05</v>
      </c>
      <c r="U191" s="22" t="e">
        <f t="shared" si="67"/>
        <v>#VALUE!</v>
      </c>
      <c r="V191" s="22" t="e">
        <f>VLOOKUP(U191,'3-SNR-Chan SE vs Range'!$Y$9:$Z$23,2)</f>
        <v>#VALUE!</v>
      </c>
      <c r="W191" s="288"/>
      <c r="X191" s="201">
        <f t="shared" si="57"/>
        <v>0.05</v>
      </c>
      <c r="Y191" s="99" t="e">
        <f>T191^2/T$166^2</f>
        <v>#VALUE!</v>
      </c>
    </row>
    <row r="194" spans="1:7" ht="30">
      <c r="A194" s="126" t="s">
        <v>224</v>
      </c>
      <c r="B194" s="737" t="s">
        <v>579</v>
      </c>
      <c r="C194" s="133" t="str">
        <f>B43</f>
        <v>n/a</v>
      </c>
      <c r="D194" s="128" t="s">
        <v>114</v>
      </c>
      <c r="E194" s="134"/>
      <c r="F194" s="134"/>
      <c r="G194" s="135"/>
    </row>
    <row r="195" spans="1:7" ht="60">
      <c r="B195" s="341" t="s">
        <v>95</v>
      </c>
      <c r="C195" s="341" t="s">
        <v>96</v>
      </c>
      <c r="D195" s="737" t="str">
        <f>IF($I$6="UL","UL SE (bps/Hz)","DL SE (bps/Hz)")</f>
        <v>UL SE (bps/Hz)</v>
      </c>
      <c r="E195" s="737" t="s">
        <v>577</v>
      </c>
      <c r="F195" s="341" t="s">
        <v>95</v>
      </c>
      <c r="G195" s="341" t="s">
        <v>97</v>
      </c>
    </row>
    <row r="196" spans="1:7">
      <c r="A196">
        <v>25</v>
      </c>
      <c r="B196" s="22" t="str">
        <f>B18</f>
        <v>n/a</v>
      </c>
      <c r="C196" s="22">
        <f>B5</f>
        <v>5.7</v>
      </c>
      <c r="D196" s="22">
        <f>IF($I$6="UL",VLOOKUP(C196,'3-SNR-Chan SE vs Range'!$Y$9:$Z$23,2),VLOOKUP(C196,$AH$9:$AI$23,2))</f>
        <v>0.16666666666666666</v>
      </c>
      <c r="E196" s="288" t="e">
        <f>SUM(D196:D$220)/$A196/((3*3^0.5/2)*B196^2)</f>
        <v>#VALUE!</v>
      </c>
      <c r="F196" s="201" t="str">
        <f>B196</f>
        <v>n/a</v>
      </c>
      <c r="G196" s="99" t="e">
        <f>B196^2/B$196^2</f>
        <v>#VALUE!</v>
      </c>
    </row>
    <row r="197" spans="1:7">
      <c r="A197">
        <f>A196-1</f>
        <v>24</v>
      </c>
      <c r="B197" s="22" t="e">
        <f>(B196^2-(B$196^2-B$221^2)/25)^0.5</f>
        <v>#VALUE!</v>
      </c>
      <c r="C197" s="22" t="e">
        <f>C$196+C$194*LOG10(B$196/B197)</f>
        <v>#VALUE!</v>
      </c>
      <c r="D197" s="22" t="e">
        <f>IF($I$6="UL",VLOOKUP(C197,'3-SNR-Chan SE vs Range'!$Y$9:$Z$23,2),VLOOKUP(C197,$AH$9:$AI$23,2))</f>
        <v>#VALUE!</v>
      </c>
      <c r="E197" s="288" t="e">
        <f>SUM(D197:D$220)/$A197/((3*3^0.5/2)*B197^2)</f>
        <v>#VALUE!</v>
      </c>
      <c r="F197" s="201" t="e">
        <f t="shared" ref="F197:F221" si="68">B197</f>
        <v>#VALUE!</v>
      </c>
      <c r="G197" s="99" t="e">
        <f t="shared" ref="G197:G221" si="69">B197^2/B$196^2</f>
        <v>#VALUE!</v>
      </c>
    </row>
    <row r="198" spans="1:7">
      <c r="A198">
        <f t="shared" ref="A198:A221" si="70">A197-1</f>
        <v>23</v>
      </c>
      <c r="B198" s="22" t="e">
        <f t="shared" ref="B198:B220" si="71">(B197^2-(B$196^2-B$221^2)/25)^0.5</f>
        <v>#VALUE!</v>
      </c>
      <c r="C198" s="22" t="e">
        <f t="shared" ref="C198:C221" si="72">C$196+C$194*LOG10(B$196/B198)</f>
        <v>#VALUE!</v>
      </c>
      <c r="D198" s="22" t="e">
        <f>IF($I$6="UL",VLOOKUP(C198,'3-SNR-Chan SE vs Range'!$Y$9:$Z$23,2),VLOOKUP(C198,$AH$9:$AI$23,2))</f>
        <v>#VALUE!</v>
      </c>
      <c r="E198" s="288" t="e">
        <f>SUM(D198:D$220)/$A198/((3*3^0.5/2)*B198^2)</f>
        <v>#VALUE!</v>
      </c>
      <c r="F198" s="201" t="e">
        <f t="shared" si="68"/>
        <v>#VALUE!</v>
      </c>
      <c r="G198" s="99" t="e">
        <f t="shared" si="69"/>
        <v>#VALUE!</v>
      </c>
    </row>
    <row r="199" spans="1:7">
      <c r="A199">
        <f t="shared" si="70"/>
        <v>22</v>
      </c>
      <c r="B199" s="22" t="e">
        <f t="shared" si="71"/>
        <v>#VALUE!</v>
      </c>
      <c r="C199" s="22" t="e">
        <f t="shared" si="72"/>
        <v>#VALUE!</v>
      </c>
      <c r="D199" s="22" t="e">
        <f>IF($I$6="UL",VLOOKUP(C199,'3-SNR-Chan SE vs Range'!$Y$9:$Z$23,2),VLOOKUP(C199,$AH$9:$AI$23,2))</f>
        <v>#VALUE!</v>
      </c>
      <c r="E199" s="288" t="e">
        <f>SUM(D199:D$220)/$A199/((3*3^0.5/2)*B199^2)</f>
        <v>#VALUE!</v>
      </c>
      <c r="F199" s="201" t="e">
        <f t="shared" si="68"/>
        <v>#VALUE!</v>
      </c>
      <c r="G199" s="99" t="e">
        <f t="shared" si="69"/>
        <v>#VALUE!</v>
      </c>
    </row>
    <row r="200" spans="1:7">
      <c r="A200">
        <f t="shared" si="70"/>
        <v>21</v>
      </c>
      <c r="B200" s="22" t="e">
        <f t="shared" si="71"/>
        <v>#VALUE!</v>
      </c>
      <c r="C200" s="22" t="e">
        <f t="shared" si="72"/>
        <v>#VALUE!</v>
      </c>
      <c r="D200" s="22" t="e">
        <f>IF($I$6="UL",VLOOKUP(C200,'3-SNR-Chan SE vs Range'!$Y$9:$Z$23,2),VLOOKUP(C200,$AH$9:$AI$23,2))</f>
        <v>#VALUE!</v>
      </c>
      <c r="E200" s="288" t="e">
        <f>SUM(D200:D$220)/$A200/((3*3^0.5/2)*B200^2)</f>
        <v>#VALUE!</v>
      </c>
      <c r="F200" s="201" t="e">
        <f t="shared" si="68"/>
        <v>#VALUE!</v>
      </c>
      <c r="G200" s="99" t="e">
        <f t="shared" si="69"/>
        <v>#VALUE!</v>
      </c>
    </row>
    <row r="201" spans="1:7">
      <c r="A201">
        <f t="shared" si="70"/>
        <v>20</v>
      </c>
      <c r="B201" s="22" t="e">
        <f t="shared" si="71"/>
        <v>#VALUE!</v>
      </c>
      <c r="C201" s="22" t="e">
        <f t="shared" si="72"/>
        <v>#VALUE!</v>
      </c>
      <c r="D201" s="22" t="e">
        <f>IF($I$6="UL",VLOOKUP(C201,'3-SNR-Chan SE vs Range'!$Y$9:$Z$23,2),VLOOKUP(C201,$AH$9:$AI$23,2))</f>
        <v>#VALUE!</v>
      </c>
      <c r="E201" s="288" t="e">
        <f>SUM(D201:D$220)/$A201/((3*3^0.5/2)*B201^2)</f>
        <v>#VALUE!</v>
      </c>
      <c r="F201" s="201" t="e">
        <f t="shared" si="68"/>
        <v>#VALUE!</v>
      </c>
      <c r="G201" s="99" t="e">
        <f t="shared" si="69"/>
        <v>#VALUE!</v>
      </c>
    </row>
    <row r="202" spans="1:7">
      <c r="A202">
        <f t="shared" si="70"/>
        <v>19</v>
      </c>
      <c r="B202" s="22" t="e">
        <f t="shared" si="71"/>
        <v>#VALUE!</v>
      </c>
      <c r="C202" s="22" t="e">
        <f t="shared" si="72"/>
        <v>#VALUE!</v>
      </c>
      <c r="D202" s="22" t="e">
        <f>IF($I$6="UL",VLOOKUP(C202,'3-SNR-Chan SE vs Range'!$Y$9:$Z$23,2),VLOOKUP(C202,$AH$9:$AI$23,2))</f>
        <v>#VALUE!</v>
      </c>
      <c r="E202" s="288" t="e">
        <f>SUM(D202:D$220)/$A202/((3*3^0.5/2)*B202^2)</f>
        <v>#VALUE!</v>
      </c>
      <c r="F202" s="201" t="e">
        <f t="shared" si="68"/>
        <v>#VALUE!</v>
      </c>
      <c r="G202" s="99" t="e">
        <f t="shared" si="69"/>
        <v>#VALUE!</v>
      </c>
    </row>
    <row r="203" spans="1:7">
      <c r="A203">
        <f t="shared" si="70"/>
        <v>18</v>
      </c>
      <c r="B203" s="22" t="e">
        <f t="shared" si="71"/>
        <v>#VALUE!</v>
      </c>
      <c r="C203" s="22" t="e">
        <f t="shared" si="72"/>
        <v>#VALUE!</v>
      </c>
      <c r="D203" s="22" t="e">
        <f>IF($I$6="UL",VLOOKUP(C203,'3-SNR-Chan SE vs Range'!$Y$9:$Z$23,2),VLOOKUP(C203,$AH$9:$AI$23,2))</f>
        <v>#VALUE!</v>
      </c>
      <c r="E203" s="288" t="e">
        <f>SUM(D203:D$220)/$A203/((3*3^0.5/2)*B203^2)</f>
        <v>#VALUE!</v>
      </c>
      <c r="F203" s="201" t="e">
        <f t="shared" si="68"/>
        <v>#VALUE!</v>
      </c>
      <c r="G203" s="99" t="e">
        <f t="shared" si="69"/>
        <v>#VALUE!</v>
      </c>
    </row>
    <row r="204" spans="1:7">
      <c r="A204">
        <f t="shared" si="70"/>
        <v>17</v>
      </c>
      <c r="B204" s="22" t="e">
        <f t="shared" si="71"/>
        <v>#VALUE!</v>
      </c>
      <c r="C204" s="22" t="e">
        <f t="shared" si="72"/>
        <v>#VALUE!</v>
      </c>
      <c r="D204" s="22" t="e">
        <f>IF($I$6="UL",VLOOKUP(C204,'3-SNR-Chan SE vs Range'!$Y$9:$Z$23,2),VLOOKUP(C204,$AH$9:$AI$23,2))</f>
        <v>#VALUE!</v>
      </c>
      <c r="E204" s="288" t="e">
        <f>SUM(D204:D$220)/$A204/((3*3^0.5/2)*B204^2)</f>
        <v>#VALUE!</v>
      </c>
      <c r="F204" s="201" t="e">
        <f t="shared" si="68"/>
        <v>#VALUE!</v>
      </c>
      <c r="G204" s="99" t="e">
        <f t="shared" si="69"/>
        <v>#VALUE!</v>
      </c>
    </row>
    <row r="205" spans="1:7">
      <c r="A205">
        <f t="shared" si="70"/>
        <v>16</v>
      </c>
      <c r="B205" s="22" t="e">
        <f t="shared" si="71"/>
        <v>#VALUE!</v>
      </c>
      <c r="C205" s="22" t="e">
        <f t="shared" si="72"/>
        <v>#VALUE!</v>
      </c>
      <c r="D205" s="22" t="e">
        <f>IF($I$6="UL",VLOOKUP(C205,'3-SNR-Chan SE vs Range'!$Y$9:$Z$23,2),VLOOKUP(C205,$AH$9:$AI$23,2))</f>
        <v>#VALUE!</v>
      </c>
      <c r="E205" s="288" t="e">
        <f>SUM(D205:D$220)/$A205/((3*3^0.5/2)*B205^2)</f>
        <v>#VALUE!</v>
      </c>
      <c r="F205" s="201" t="e">
        <f t="shared" si="68"/>
        <v>#VALUE!</v>
      </c>
      <c r="G205" s="99" t="e">
        <f t="shared" si="69"/>
        <v>#VALUE!</v>
      </c>
    </row>
    <row r="206" spans="1:7">
      <c r="A206">
        <f t="shared" si="70"/>
        <v>15</v>
      </c>
      <c r="B206" s="22" t="e">
        <f t="shared" si="71"/>
        <v>#VALUE!</v>
      </c>
      <c r="C206" s="22" t="e">
        <f t="shared" si="72"/>
        <v>#VALUE!</v>
      </c>
      <c r="D206" s="22" t="e">
        <f>IF($I$6="UL",VLOOKUP(C206,'3-SNR-Chan SE vs Range'!$Y$9:$Z$23,2),VLOOKUP(C206,$AH$9:$AI$23,2))</f>
        <v>#VALUE!</v>
      </c>
      <c r="E206" s="288" t="e">
        <f>SUM(D206:D$220)/$A206/((3*3^0.5/2)*B206^2)</f>
        <v>#VALUE!</v>
      </c>
      <c r="F206" s="201" t="e">
        <f t="shared" si="68"/>
        <v>#VALUE!</v>
      </c>
      <c r="G206" s="99" t="e">
        <f t="shared" si="69"/>
        <v>#VALUE!</v>
      </c>
    </row>
    <row r="207" spans="1:7">
      <c r="A207">
        <f t="shared" si="70"/>
        <v>14</v>
      </c>
      <c r="B207" s="22" t="e">
        <f t="shared" si="71"/>
        <v>#VALUE!</v>
      </c>
      <c r="C207" s="22" t="e">
        <f t="shared" si="72"/>
        <v>#VALUE!</v>
      </c>
      <c r="D207" s="22" t="e">
        <f>IF($I$6="UL",VLOOKUP(C207,'3-SNR-Chan SE vs Range'!$Y$9:$Z$23,2),VLOOKUP(C207,$AH$9:$AI$23,2))</f>
        <v>#VALUE!</v>
      </c>
      <c r="E207" s="288" t="e">
        <f>SUM(D207:D$220)/$A207/((3*3^0.5/2)*B207^2)</f>
        <v>#VALUE!</v>
      </c>
      <c r="F207" s="201" t="e">
        <f t="shared" si="68"/>
        <v>#VALUE!</v>
      </c>
      <c r="G207" s="99" t="e">
        <f t="shared" si="69"/>
        <v>#VALUE!</v>
      </c>
    </row>
    <row r="208" spans="1:7">
      <c r="A208">
        <f t="shared" si="70"/>
        <v>13</v>
      </c>
      <c r="B208" s="22" t="e">
        <f t="shared" si="71"/>
        <v>#VALUE!</v>
      </c>
      <c r="C208" s="22" t="e">
        <f t="shared" si="72"/>
        <v>#VALUE!</v>
      </c>
      <c r="D208" s="22" t="e">
        <f>IF($I$6="UL",VLOOKUP(C208,'3-SNR-Chan SE vs Range'!$Y$9:$Z$23,2),VLOOKUP(C208,$AH$9:$AI$23,2))</f>
        <v>#VALUE!</v>
      </c>
      <c r="E208" s="288" t="e">
        <f>SUM(D208:D$220)/$A208/((3*3^0.5/2)*B208^2)</f>
        <v>#VALUE!</v>
      </c>
      <c r="F208" s="201" t="e">
        <f t="shared" si="68"/>
        <v>#VALUE!</v>
      </c>
      <c r="G208" s="99" t="e">
        <f t="shared" si="69"/>
        <v>#VALUE!</v>
      </c>
    </row>
    <row r="209" spans="1:7">
      <c r="A209">
        <f t="shared" si="70"/>
        <v>12</v>
      </c>
      <c r="B209" s="22" t="e">
        <f t="shared" si="71"/>
        <v>#VALUE!</v>
      </c>
      <c r="C209" s="22" t="e">
        <f t="shared" si="72"/>
        <v>#VALUE!</v>
      </c>
      <c r="D209" s="22" t="e">
        <f>IF($I$6="UL",VLOOKUP(C209,'3-SNR-Chan SE vs Range'!$Y$9:$Z$23,2),VLOOKUP(C209,$AH$9:$AI$23,2))</f>
        <v>#VALUE!</v>
      </c>
      <c r="E209" s="288" t="e">
        <f>SUM(D209:D$220)/$A209/((3*3^0.5/2)*B209^2)</f>
        <v>#VALUE!</v>
      </c>
      <c r="F209" s="201" t="e">
        <f t="shared" si="68"/>
        <v>#VALUE!</v>
      </c>
      <c r="G209" s="99" t="e">
        <f t="shared" si="69"/>
        <v>#VALUE!</v>
      </c>
    </row>
    <row r="210" spans="1:7">
      <c r="A210">
        <f t="shared" si="70"/>
        <v>11</v>
      </c>
      <c r="B210" s="22" t="e">
        <f t="shared" si="71"/>
        <v>#VALUE!</v>
      </c>
      <c r="C210" s="22" t="e">
        <f t="shared" si="72"/>
        <v>#VALUE!</v>
      </c>
      <c r="D210" s="22" t="e">
        <f>IF($I$6="UL",VLOOKUP(C210,'3-SNR-Chan SE vs Range'!$Y$9:$Z$23,2),VLOOKUP(C210,$AH$9:$AI$23,2))</f>
        <v>#VALUE!</v>
      </c>
      <c r="E210" s="288" t="e">
        <f>SUM(D210:D$220)/$A210/((3*3^0.5/2)*B210^2)</f>
        <v>#VALUE!</v>
      </c>
      <c r="F210" s="201" t="e">
        <f t="shared" si="68"/>
        <v>#VALUE!</v>
      </c>
      <c r="G210" s="99" t="e">
        <f t="shared" si="69"/>
        <v>#VALUE!</v>
      </c>
    </row>
    <row r="211" spans="1:7">
      <c r="A211">
        <f t="shared" si="70"/>
        <v>10</v>
      </c>
      <c r="B211" s="22" t="e">
        <f t="shared" si="71"/>
        <v>#VALUE!</v>
      </c>
      <c r="C211" s="22" t="e">
        <f t="shared" si="72"/>
        <v>#VALUE!</v>
      </c>
      <c r="D211" s="22" t="e">
        <f>IF($I$6="UL",VLOOKUP(C211,'3-SNR-Chan SE vs Range'!$Y$9:$Z$23,2),VLOOKUP(C211,$AH$9:$AI$23,2))</f>
        <v>#VALUE!</v>
      </c>
      <c r="E211" s="288" t="e">
        <f>SUM(D211:D$220)/$A211/((3*3^0.5/2)*B211^2)</f>
        <v>#VALUE!</v>
      </c>
      <c r="F211" s="201" t="e">
        <f t="shared" si="68"/>
        <v>#VALUE!</v>
      </c>
      <c r="G211" s="99" t="e">
        <f t="shared" si="69"/>
        <v>#VALUE!</v>
      </c>
    </row>
    <row r="212" spans="1:7">
      <c r="A212">
        <f t="shared" si="70"/>
        <v>9</v>
      </c>
      <c r="B212" s="22" t="e">
        <f t="shared" si="71"/>
        <v>#VALUE!</v>
      </c>
      <c r="C212" s="22" t="e">
        <f t="shared" si="72"/>
        <v>#VALUE!</v>
      </c>
      <c r="D212" s="22" t="e">
        <f>IF($I$6="UL",VLOOKUP(C212,'3-SNR-Chan SE vs Range'!$Y$9:$Z$23,2),VLOOKUP(C212,$AH$9:$AI$23,2))</f>
        <v>#VALUE!</v>
      </c>
      <c r="E212" s="288" t="e">
        <f>SUM(D212:D$220)/$A212/((3*3^0.5/2)*B212^2)</f>
        <v>#VALUE!</v>
      </c>
      <c r="F212" s="201" t="e">
        <f t="shared" si="68"/>
        <v>#VALUE!</v>
      </c>
      <c r="G212" s="99" t="e">
        <f t="shared" si="69"/>
        <v>#VALUE!</v>
      </c>
    </row>
    <row r="213" spans="1:7">
      <c r="A213">
        <f t="shared" si="70"/>
        <v>8</v>
      </c>
      <c r="B213" s="22" t="e">
        <f t="shared" si="71"/>
        <v>#VALUE!</v>
      </c>
      <c r="C213" s="22" t="e">
        <f t="shared" si="72"/>
        <v>#VALUE!</v>
      </c>
      <c r="D213" s="22" t="e">
        <f>IF($I$6="UL",VLOOKUP(C213,'3-SNR-Chan SE vs Range'!$Y$9:$Z$23,2),VLOOKUP(C213,$AH$9:$AI$23,2))</f>
        <v>#VALUE!</v>
      </c>
      <c r="E213" s="288" t="e">
        <f>SUM(D213:D$220)/$A213/((3*3^0.5/2)*B213^2)</f>
        <v>#VALUE!</v>
      </c>
      <c r="F213" s="201" t="e">
        <f t="shared" si="68"/>
        <v>#VALUE!</v>
      </c>
      <c r="G213" s="99" t="e">
        <f t="shared" si="69"/>
        <v>#VALUE!</v>
      </c>
    </row>
    <row r="214" spans="1:7">
      <c r="A214">
        <f t="shared" si="70"/>
        <v>7</v>
      </c>
      <c r="B214" s="22" t="e">
        <f t="shared" si="71"/>
        <v>#VALUE!</v>
      </c>
      <c r="C214" s="22" t="e">
        <f t="shared" si="72"/>
        <v>#VALUE!</v>
      </c>
      <c r="D214" s="22" t="e">
        <f>IF($I$6="UL",VLOOKUP(C214,'3-SNR-Chan SE vs Range'!$Y$9:$Z$23,2),VLOOKUP(C214,$AH$9:$AI$23,2))</f>
        <v>#VALUE!</v>
      </c>
      <c r="E214" s="288" t="e">
        <f>SUM(D214:D$220)/$A214/((3*3^0.5/2)*B214^2)</f>
        <v>#VALUE!</v>
      </c>
      <c r="F214" s="201" t="e">
        <f t="shared" si="68"/>
        <v>#VALUE!</v>
      </c>
      <c r="G214" s="99" t="e">
        <f t="shared" si="69"/>
        <v>#VALUE!</v>
      </c>
    </row>
    <row r="215" spans="1:7">
      <c r="A215">
        <f t="shared" si="70"/>
        <v>6</v>
      </c>
      <c r="B215" s="22" t="e">
        <f t="shared" si="71"/>
        <v>#VALUE!</v>
      </c>
      <c r="C215" s="22" t="e">
        <f t="shared" si="72"/>
        <v>#VALUE!</v>
      </c>
      <c r="D215" s="22" t="e">
        <f>IF($I$6="UL",VLOOKUP(C215,'3-SNR-Chan SE vs Range'!$Y$9:$Z$23,2),VLOOKUP(C215,$AH$9:$AI$23,2))</f>
        <v>#VALUE!</v>
      </c>
      <c r="E215" s="288" t="e">
        <f>SUM(D215:D$220)/$A215/((3*3^0.5/2)*B215^2)</f>
        <v>#VALUE!</v>
      </c>
      <c r="F215" s="201" t="e">
        <f t="shared" si="68"/>
        <v>#VALUE!</v>
      </c>
      <c r="G215" s="99" t="e">
        <f t="shared" si="69"/>
        <v>#VALUE!</v>
      </c>
    </row>
    <row r="216" spans="1:7">
      <c r="A216">
        <f t="shared" si="70"/>
        <v>5</v>
      </c>
      <c r="B216" s="22" t="e">
        <f t="shared" si="71"/>
        <v>#VALUE!</v>
      </c>
      <c r="C216" s="22" t="e">
        <f t="shared" si="72"/>
        <v>#VALUE!</v>
      </c>
      <c r="D216" s="22" t="e">
        <f>IF($I$6="UL",VLOOKUP(C216,'3-SNR-Chan SE vs Range'!$Y$9:$Z$23,2),VLOOKUP(C216,$AH$9:$AI$23,2))</f>
        <v>#VALUE!</v>
      </c>
      <c r="E216" s="288" t="e">
        <f>SUM(D216:D$220)/$A216/((3*3^0.5/2)*B216^2)</f>
        <v>#VALUE!</v>
      </c>
      <c r="F216" s="201" t="e">
        <f t="shared" si="68"/>
        <v>#VALUE!</v>
      </c>
      <c r="G216" s="99" t="e">
        <f t="shared" si="69"/>
        <v>#VALUE!</v>
      </c>
    </row>
    <row r="217" spans="1:7">
      <c r="A217">
        <f t="shared" si="70"/>
        <v>4</v>
      </c>
      <c r="B217" s="22" t="e">
        <f t="shared" si="71"/>
        <v>#VALUE!</v>
      </c>
      <c r="C217" s="22" t="e">
        <f t="shared" si="72"/>
        <v>#VALUE!</v>
      </c>
      <c r="D217" s="22" t="e">
        <f>IF($I$6="UL",VLOOKUP(C217,'3-SNR-Chan SE vs Range'!$Y$9:$Z$23,2),VLOOKUP(C217,$AH$9:$AI$23,2))</f>
        <v>#VALUE!</v>
      </c>
      <c r="E217" s="288" t="e">
        <f>SUM(D217:D$220)/$A217/((3*3^0.5/2)*B217^2)</f>
        <v>#VALUE!</v>
      </c>
      <c r="F217" s="201" t="e">
        <f t="shared" si="68"/>
        <v>#VALUE!</v>
      </c>
      <c r="G217" s="99" t="e">
        <f t="shared" si="69"/>
        <v>#VALUE!</v>
      </c>
    </row>
    <row r="218" spans="1:7">
      <c r="A218">
        <f t="shared" si="70"/>
        <v>3</v>
      </c>
      <c r="B218" s="22" t="e">
        <f t="shared" si="71"/>
        <v>#VALUE!</v>
      </c>
      <c r="C218" s="22" t="e">
        <f t="shared" si="72"/>
        <v>#VALUE!</v>
      </c>
      <c r="D218" s="22" t="e">
        <f>IF($I$6="UL",VLOOKUP(C218,'3-SNR-Chan SE vs Range'!$Y$9:$Z$23,2),VLOOKUP(C218,$AH$9:$AI$23,2))</f>
        <v>#VALUE!</v>
      </c>
      <c r="E218" s="288" t="e">
        <f>SUM(D218:D$220)/$A218/((3*3^0.5/2)*B218^2)</f>
        <v>#VALUE!</v>
      </c>
      <c r="F218" s="201" t="e">
        <f t="shared" si="68"/>
        <v>#VALUE!</v>
      </c>
      <c r="G218" s="99" t="e">
        <f t="shared" si="69"/>
        <v>#VALUE!</v>
      </c>
    </row>
    <row r="219" spans="1:7">
      <c r="A219">
        <f t="shared" si="70"/>
        <v>2</v>
      </c>
      <c r="B219" s="22" t="e">
        <f t="shared" si="71"/>
        <v>#VALUE!</v>
      </c>
      <c r="C219" s="22" t="e">
        <f t="shared" si="72"/>
        <v>#VALUE!</v>
      </c>
      <c r="D219" s="22" t="e">
        <f>IF($I$6="UL",VLOOKUP(C219,'3-SNR-Chan SE vs Range'!$Y$9:$Z$23,2),VLOOKUP(C219,$AH$9:$AI$23,2))</f>
        <v>#VALUE!</v>
      </c>
      <c r="E219" s="288" t="e">
        <f>SUM(D219:D$220)/$A219/((3*3^0.5/2)*B219^2)</f>
        <v>#VALUE!</v>
      </c>
      <c r="F219" s="201" t="e">
        <f t="shared" si="68"/>
        <v>#VALUE!</v>
      </c>
      <c r="G219" s="99" t="e">
        <f t="shared" si="69"/>
        <v>#VALUE!</v>
      </c>
    </row>
    <row r="220" spans="1:7">
      <c r="A220">
        <f t="shared" si="70"/>
        <v>1</v>
      </c>
      <c r="B220" s="22" t="e">
        <f t="shared" si="71"/>
        <v>#VALUE!</v>
      </c>
      <c r="C220" s="22" t="e">
        <f t="shared" si="72"/>
        <v>#VALUE!</v>
      </c>
      <c r="D220" s="22" t="e">
        <f>IF($I$6="UL",VLOOKUP(C220,'3-SNR-Chan SE vs Range'!$Y$9:$Z$23,2),VLOOKUP(C220,$AH$9:$AI$23,2))</f>
        <v>#VALUE!</v>
      </c>
      <c r="E220" s="288" t="e">
        <f>SUM(D220:D$220)/$A220/((3*3^0.5/2)*B220^2)</f>
        <v>#VALUE!</v>
      </c>
      <c r="F220" s="201" t="e">
        <f t="shared" si="68"/>
        <v>#VALUE!</v>
      </c>
      <c r="G220" s="99" t="e">
        <f t="shared" si="69"/>
        <v>#VALUE!</v>
      </c>
    </row>
    <row r="221" spans="1:7">
      <c r="A221">
        <f t="shared" si="70"/>
        <v>0</v>
      </c>
      <c r="B221" s="23">
        <f>0.05</f>
        <v>0.05</v>
      </c>
      <c r="C221" s="22" t="e">
        <f t="shared" si="72"/>
        <v>#VALUE!</v>
      </c>
      <c r="D221" s="22" t="e">
        <f>IF($I$6="UL",VLOOKUP(C221,'3-SNR-Chan SE vs Range'!$Y$9:$Z$23,2),VLOOKUP(C221,$AH$9:$AI$23,2))</f>
        <v>#VALUE!</v>
      </c>
      <c r="E221" s="202"/>
      <c r="F221" s="201">
        <f t="shared" si="68"/>
        <v>0.05</v>
      </c>
      <c r="G221" s="99" t="e">
        <f t="shared" si="69"/>
        <v>#VALUE!</v>
      </c>
    </row>
  </sheetData>
  <sheetProtection password="CF7A" sheet="1" objects="1" scenarios="1"/>
  <dataValidations count="4">
    <dataValidation type="list" allowBlank="1" showInputMessage="1" showErrorMessage="1" sqref="A21 A38 A13 A29">
      <formula1>"Erceg-SUI -Modified,Erceg-SUI-Original,Hata-Okumura,COST231-Hata,WINNER II"</formula1>
    </dataValidation>
    <dataValidation type="list" allowBlank="1" showInputMessage="1" showErrorMessage="1" sqref="A22:A24 A39:A41 A14:A16 A30:A32">
      <formula1>"Erceg-SUI -Mod,Hata-Okumura,COST231-Hata,WINNER II"</formula1>
    </dataValidation>
    <dataValidation type="list" allowBlank="1" showInputMessage="1" showErrorMessage="1" sqref="A134 A37 A44 A74 A104">
      <formula1>"Erceg-SUI -Modified,Hata-Okumura,COST231-Hata,WINNER II"</formula1>
    </dataValidation>
    <dataValidation type="list" allowBlank="1" showInputMessage="1" showErrorMessage="1" sqref="A12 A28 A20">
      <formula1>"Erceg-SUI-Modified,Hata-Okumura,COST231-Hata,WINNER II"</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dimension ref="A1:K70"/>
  <sheetViews>
    <sheetView topLeftCell="A4" workbookViewId="0">
      <selection activeCell="D10" sqref="D10"/>
    </sheetView>
  </sheetViews>
  <sheetFormatPr defaultRowHeight="12.75"/>
  <cols>
    <col min="1" max="1" width="48" style="597" customWidth="1"/>
    <col min="2" max="9" width="12.7109375" style="597" customWidth="1"/>
    <col min="10" max="10" width="12.85546875" style="597" customWidth="1"/>
    <col min="11" max="11" width="12.7109375" style="597" customWidth="1"/>
    <col min="12" max="12" width="15.7109375" style="597" customWidth="1"/>
    <col min="13" max="25" width="8.28515625" style="597" customWidth="1"/>
    <col min="26" max="28" width="9.28515625" style="597" bestFit="1" customWidth="1"/>
    <col min="29" max="16384" width="9.140625" style="597"/>
  </cols>
  <sheetData>
    <row r="1" spans="1:11" ht="22.5" customHeight="1">
      <c r="A1" s="684" t="s">
        <v>515</v>
      </c>
      <c r="B1" s="685"/>
      <c r="C1" s="685"/>
      <c r="D1" s="685"/>
      <c r="E1" s="685"/>
      <c r="F1" s="685"/>
      <c r="G1" s="685"/>
      <c r="H1" s="685"/>
      <c r="I1" s="685"/>
      <c r="J1" s="685"/>
      <c r="K1" s="686"/>
    </row>
    <row r="2" spans="1:11" ht="15" customHeight="1">
      <c r="A2" s="652" t="s">
        <v>528</v>
      </c>
      <c r="B2" s="650" t="s">
        <v>526</v>
      </c>
      <c r="C2" s="689" t="s">
        <v>537</v>
      </c>
      <c r="D2" s="683"/>
      <c r="E2" s="683"/>
      <c r="F2" s="683"/>
      <c r="G2" s="683"/>
      <c r="H2" s="683"/>
      <c r="I2" s="683"/>
      <c r="J2" s="683"/>
      <c r="K2" s="683"/>
    </row>
    <row r="3" spans="1:11" ht="15" customHeight="1">
      <c r="A3" s="670" t="s">
        <v>530</v>
      </c>
      <c r="B3" s="688" t="str">
        <f>'C-SG Ntwrk-Input-BS-Output '!C22</f>
        <v>UL</v>
      </c>
    </row>
    <row r="4" spans="1:11" ht="15">
      <c r="B4" s="920" t="str">
        <f>'C-SG Ntwrk-Input-BS-Output '!E8</f>
        <v>Erceg-SUI-Modified</v>
      </c>
      <c r="C4" s="921"/>
      <c r="D4" s="920" t="str">
        <f>'C-SG Ntwrk-Input-BS-Output '!F8</f>
        <v>Hata-Okumura</v>
      </c>
      <c r="E4" s="921"/>
      <c r="F4" s="920" t="str">
        <f>'C-SG Ntwrk-Input-BS-Output '!G8</f>
        <v>Cost231-Hata</v>
      </c>
      <c r="G4" s="921"/>
      <c r="H4" s="920" t="str">
        <f>'C-SG Ntwrk-Input-BS-Output '!H8</f>
        <v>WINNER II</v>
      </c>
      <c r="I4" s="921"/>
      <c r="J4" s="920" t="str">
        <f>'C-SG Ntwrk-Input-BS-Output '!I8</f>
        <v>ITU-R M.2135-14</v>
      </c>
      <c r="K4" s="921"/>
    </row>
    <row r="5" spans="1:11" ht="15" customHeight="1">
      <c r="A5" s="614" t="s">
        <v>533</v>
      </c>
      <c r="B5" s="674">
        <f>IF('C-SG Ntwrk-Input-BS-Output '!E11="n/a","",10^6*'C-SG Ntwrk-Input-BS-Output '!E19)</f>
        <v>7103133.3333333321</v>
      </c>
      <c r="C5" s="675" t="s">
        <v>511</v>
      </c>
      <c r="D5" s="674" t="str">
        <f>IF('C-SG Ntwrk-Input-BS-Output '!F11="n/a","",10^6*'C-SG Ntwrk-Input-BS-Output '!F19)</f>
        <v/>
      </c>
      <c r="E5" s="676" t="s">
        <v>511</v>
      </c>
      <c r="F5" s="674" t="str">
        <f>IF('C-SG Ntwrk-Input-BS-Output '!G11="n/a","",10^6*'C-SG Ntwrk-Input-BS-Output '!G19)</f>
        <v/>
      </c>
      <c r="G5" s="676" t="s">
        <v>511</v>
      </c>
      <c r="H5" s="674" t="str">
        <f>IF('C-SG Ntwrk-Input-BS-Output '!H11="n/a","",10^6*'C-SG Ntwrk-Input-BS-Output '!H19)</f>
        <v/>
      </c>
      <c r="I5" s="676" t="s">
        <v>511</v>
      </c>
      <c r="J5" s="674" t="str">
        <f>IF('C-SG Ntwrk-Input-BS-Output '!I11="n/a","",10^6*'C-SG Ntwrk-Input-BS-Output '!I19)</f>
        <v/>
      </c>
      <c r="K5" s="676" t="s">
        <v>511</v>
      </c>
    </row>
    <row r="6" spans="1:11" ht="15" customHeight="1">
      <c r="A6" s="614" t="s">
        <v>569</v>
      </c>
      <c r="B6" s="668">
        <f>IF(B3="UL",'A-Model-Area-Demographics'!H53,'A-Model-Area-Demographics'!J53)</f>
        <v>1</v>
      </c>
      <c r="C6" s="618" t="s">
        <v>512</v>
      </c>
      <c r="D6" s="615">
        <v>2</v>
      </c>
      <c r="E6" s="618" t="s">
        <v>512</v>
      </c>
      <c r="F6" s="615">
        <v>2</v>
      </c>
      <c r="G6" s="618" t="s">
        <v>512</v>
      </c>
      <c r="H6" s="615">
        <v>2</v>
      </c>
      <c r="I6" s="618" t="s">
        <v>512</v>
      </c>
      <c r="J6" s="615">
        <v>2</v>
      </c>
      <c r="K6" s="618" t="s">
        <v>512</v>
      </c>
    </row>
    <row r="7" spans="1:11" ht="15" customHeight="1">
      <c r="A7" s="614" t="s">
        <v>510</v>
      </c>
      <c r="B7" s="687">
        <f>IF(B3="UL",'A-Model-Area-Demographics'!H54,'A-Model-Area-Demographics'!J54)</f>
        <v>350</v>
      </c>
      <c r="C7" s="618" t="s">
        <v>509</v>
      </c>
      <c r="D7" s="616">
        <f>B7</f>
        <v>350</v>
      </c>
      <c r="E7" s="618" t="s">
        <v>509</v>
      </c>
      <c r="F7" s="616">
        <f>D7</f>
        <v>350</v>
      </c>
      <c r="G7" s="618" t="s">
        <v>509</v>
      </c>
      <c r="H7" s="616">
        <f>F7</f>
        <v>350</v>
      </c>
      <c r="I7" s="618" t="s">
        <v>509</v>
      </c>
      <c r="J7" s="616">
        <f>H7</f>
        <v>350</v>
      </c>
      <c r="K7" s="618" t="s">
        <v>509</v>
      </c>
    </row>
    <row r="8" spans="1:11" ht="15" customHeight="1">
      <c r="A8" s="603" t="s">
        <v>571</v>
      </c>
      <c r="B8" s="617">
        <f>IF(B5="n/a","n/a",8*B7/B5)</f>
        <v>3.9419223441298216E-4</v>
      </c>
      <c r="C8" s="598" t="s">
        <v>508</v>
      </c>
      <c r="D8" s="617" t="e">
        <f>IF(D5="n/a","n/a",8*D7/D5)</f>
        <v>#VALUE!</v>
      </c>
      <c r="E8" s="598" t="s">
        <v>508</v>
      </c>
      <c r="F8" s="617" t="e">
        <f>IF(F5="n/a","n/a",8*F7/F5)</f>
        <v>#VALUE!</v>
      </c>
      <c r="G8" s="598" t="s">
        <v>508</v>
      </c>
      <c r="H8" s="617" t="e">
        <f>IF(H5="n/a","n/a",8*H7/H5)</f>
        <v>#VALUE!</v>
      </c>
      <c r="I8" s="598" t="s">
        <v>508</v>
      </c>
      <c r="J8" s="617" t="e">
        <f>IF(J5="n/a","n/a",8*J7/J5)</f>
        <v>#VALUE!</v>
      </c>
      <c r="K8" s="598" t="s">
        <v>508</v>
      </c>
    </row>
    <row r="9" spans="1:11" ht="15" customHeight="1">
      <c r="A9" s="603" t="s">
        <v>554</v>
      </c>
      <c r="B9" s="690">
        <f>IF(B3="UL",'A-Model-Area-Demographics'!H58,'A-Model-Area-Demographics'!J58)</f>
        <v>8.3333333333333329E-2</v>
      </c>
      <c r="D9" s="600">
        <f>B9</f>
        <v>8.3333333333333329E-2</v>
      </c>
      <c r="F9" s="600">
        <f>D9</f>
        <v>8.3333333333333329E-2</v>
      </c>
      <c r="H9" s="600">
        <f>F9</f>
        <v>8.3333333333333329E-2</v>
      </c>
      <c r="J9" s="600">
        <f>H9</f>
        <v>8.3333333333333329E-2</v>
      </c>
      <c r="K9" s="624"/>
    </row>
    <row r="10" spans="1:11" ht="15" customHeight="1">
      <c r="A10" s="603" t="s">
        <v>550</v>
      </c>
      <c r="B10" s="673">
        <f>ROUNDDOWN(B6/B8,0)</f>
        <v>2536</v>
      </c>
      <c r="D10" s="599" t="e">
        <f>ROUNDDOWN(D6/D8,0)</f>
        <v>#VALUE!</v>
      </c>
      <c r="F10" s="599" t="e">
        <f>ROUNDDOWN(F6/F8,0)</f>
        <v>#VALUE!</v>
      </c>
      <c r="H10" s="599" t="e">
        <f>ROUNDDOWN(H6/H8,0)</f>
        <v>#VALUE!</v>
      </c>
      <c r="J10" s="599" t="e">
        <f>ROUNDDOWN(J6/J8,0)</f>
        <v>#VALUE!</v>
      </c>
      <c r="K10" s="625"/>
    </row>
    <row r="11" spans="1:11" ht="15" customHeight="1">
      <c r="A11" s="622" t="s">
        <v>536</v>
      </c>
      <c r="B11" s="666">
        <f>IF(B3="UL",'A-Model-Area-Demographics'!H57,'A-Model-Area-Demographics'!J57)</f>
        <v>0.99950000000000006</v>
      </c>
      <c r="D11" s="623">
        <f>B11</f>
        <v>0.99950000000000006</v>
      </c>
      <c r="F11" s="623">
        <f>D11</f>
        <v>0.99950000000000006</v>
      </c>
      <c r="H11" s="623">
        <f>F11</f>
        <v>0.99950000000000006</v>
      </c>
      <c r="J11" s="623">
        <f>H11</f>
        <v>0.99950000000000006</v>
      </c>
      <c r="K11" s="625"/>
    </row>
    <row r="12" spans="1:11" ht="15" customHeight="1">
      <c r="A12" s="619" t="s">
        <v>513</v>
      </c>
      <c r="B12" s="607">
        <f>IF(B9&gt;B11,B10,ROUND(VLOOKUP(B11,B15:C55,2)-(C15-B10)/40,0))</f>
        <v>28340</v>
      </c>
      <c r="C12" s="620"/>
      <c r="D12" s="607" t="e">
        <f>IF(B9&gt;B11,D10,ROUND(VLOOKUP(D11,D15:E55,2)-(E15-D10)/40,0))</f>
        <v>#N/A</v>
      </c>
      <c r="E12" s="620"/>
      <c r="F12" s="607" t="e">
        <f>IF(F9&gt;F11,F10,ROUND(VLOOKUP(F11,F15:G55,2)-(G15-F10)/40,0))</f>
        <v>#N/A</v>
      </c>
      <c r="G12" s="620"/>
      <c r="H12" s="607" t="e">
        <f>IF(H9&gt;H11,H10,ROUND(VLOOKUP(H11,H15:I55,2)-(I15-H10)/40,0))</f>
        <v>#N/A</v>
      </c>
      <c r="I12" s="620"/>
      <c r="J12" s="607" t="e">
        <f>IF(J9&gt;J11,J10,ROUND(VLOOKUP(J11,J15:K55,2)-(K15-J10)/40,0))</f>
        <v>#N/A</v>
      </c>
      <c r="K12" s="626"/>
    </row>
    <row r="13" spans="1:11" ht="9" customHeight="1">
      <c r="A13" s="604"/>
      <c r="B13" s="677"/>
      <c r="C13" s="678"/>
      <c r="D13" s="678"/>
      <c r="E13" s="678"/>
      <c r="F13" s="678"/>
      <c r="G13" s="678"/>
      <c r="H13" s="678"/>
      <c r="I13" s="678"/>
      <c r="J13" s="678"/>
      <c r="K13" s="679"/>
    </row>
    <row r="14" spans="1:11">
      <c r="A14" s="604"/>
      <c r="B14" s="621" t="s">
        <v>514</v>
      </c>
      <c r="C14" s="607" t="s">
        <v>506</v>
      </c>
      <c r="D14" s="621" t="s">
        <v>514</v>
      </c>
      <c r="E14" s="607" t="s">
        <v>506</v>
      </c>
      <c r="F14" s="621" t="s">
        <v>514</v>
      </c>
      <c r="G14" s="607" t="s">
        <v>506</v>
      </c>
      <c r="H14" s="621" t="s">
        <v>514</v>
      </c>
      <c r="I14" s="607" t="s">
        <v>506</v>
      </c>
      <c r="J14" s="621" t="s">
        <v>514</v>
      </c>
      <c r="K14" s="607" t="s">
        <v>506</v>
      </c>
    </row>
    <row r="15" spans="1:11" ht="15">
      <c r="B15" s="605">
        <f t="shared" ref="B15:B55" si="0">IF(C15&gt;B$10,BINOMDIST(B$10,C15,B$9,1),1)</f>
        <v>0.50528607331376696</v>
      </c>
      <c r="C15" s="673">
        <f>ROUND(1*B10/B9,0)</f>
        <v>30432</v>
      </c>
      <c r="D15" s="605" t="e">
        <f t="shared" ref="D15:D55" si="1">IF(E15&gt;D$10,BINOMDIST(D$10,E15,D$9,1),1)</f>
        <v>#VALUE!</v>
      </c>
      <c r="E15" s="673" t="e">
        <f>ROUND(1*D10/D9,0)</f>
        <v>#VALUE!</v>
      </c>
      <c r="F15" s="605" t="e">
        <f t="shared" ref="F15:F55" si="2">IF(G15&gt;F$10,BINOMDIST(F$10,G15,F$9,1),1)</f>
        <v>#VALUE!</v>
      </c>
      <c r="G15" s="673" t="e">
        <f>ROUND(1*F10/F9,0)</f>
        <v>#VALUE!</v>
      </c>
      <c r="H15" s="605" t="e">
        <f t="shared" ref="H15:H55" si="3">IF(I15&gt;H$10,BINOMDIST(H$10,I15,H$9,1),1)</f>
        <v>#VALUE!</v>
      </c>
      <c r="I15" s="673" t="e">
        <f>ROUND(1*H10/H9,0)</f>
        <v>#VALUE!</v>
      </c>
      <c r="J15" s="605" t="e">
        <f t="shared" ref="J15:J55" si="4">IF(K15&gt;J$10,BINOMDIST(J$10,K15,J$9,1),1)</f>
        <v>#VALUE!</v>
      </c>
      <c r="K15" s="673" t="e">
        <f>ROUND(1*J10/J9,0)</f>
        <v>#VALUE!</v>
      </c>
    </row>
    <row r="16" spans="1:11" ht="15">
      <c r="B16" s="605">
        <f t="shared" si="0"/>
        <v>0.89055875475678137</v>
      </c>
      <c r="C16" s="673">
        <f>C15-(C$15-C$55)/40</f>
        <v>29734.6</v>
      </c>
      <c r="D16" s="605" t="e">
        <f t="shared" si="1"/>
        <v>#VALUE!</v>
      </c>
      <c r="E16" s="673" t="e">
        <f>E15-(E$15-E$55)/40</f>
        <v>#VALUE!</v>
      </c>
      <c r="F16" s="605" t="e">
        <f t="shared" si="2"/>
        <v>#VALUE!</v>
      </c>
      <c r="G16" s="673" t="e">
        <f>G15-(G$15-G$55)/40</f>
        <v>#VALUE!</v>
      </c>
      <c r="H16" s="605" t="e">
        <f t="shared" si="3"/>
        <v>#VALUE!</v>
      </c>
      <c r="I16" s="673" t="e">
        <f>I15-(I$15-I$55)/40</f>
        <v>#VALUE!</v>
      </c>
      <c r="J16" s="605" t="e">
        <f t="shared" si="4"/>
        <v>#VALUE!</v>
      </c>
      <c r="K16" s="673" t="e">
        <f>K15-(K$15-K$55)/40</f>
        <v>#VALUE!</v>
      </c>
    </row>
    <row r="17" spans="2:11" ht="15">
      <c r="B17" s="605">
        <f t="shared" si="0"/>
        <v>0.99313218008437842</v>
      </c>
      <c r="C17" s="673">
        <f t="shared" ref="C17:K54" si="5">C16-(C$15-C$55)/40</f>
        <v>29037.199999999997</v>
      </c>
      <c r="D17" s="605" t="e">
        <f t="shared" si="1"/>
        <v>#VALUE!</v>
      </c>
      <c r="E17" s="673" t="e">
        <f t="shared" si="5"/>
        <v>#VALUE!</v>
      </c>
      <c r="F17" s="605" t="e">
        <f t="shared" si="2"/>
        <v>#VALUE!</v>
      </c>
      <c r="G17" s="673" t="e">
        <f t="shared" si="5"/>
        <v>#VALUE!</v>
      </c>
      <c r="H17" s="605" t="e">
        <f t="shared" si="3"/>
        <v>#VALUE!</v>
      </c>
      <c r="I17" s="673" t="e">
        <f t="shared" si="5"/>
        <v>#VALUE!</v>
      </c>
      <c r="J17" s="605" t="e">
        <f t="shared" si="4"/>
        <v>#VALUE!</v>
      </c>
      <c r="K17" s="673" t="e">
        <f t="shared" si="5"/>
        <v>#VALUE!</v>
      </c>
    </row>
    <row r="18" spans="2:11" ht="15">
      <c r="B18" s="605">
        <f t="shared" si="0"/>
        <v>0.99990097287220459</v>
      </c>
      <c r="C18" s="673">
        <f t="shared" si="5"/>
        <v>28339.799999999996</v>
      </c>
      <c r="D18" s="605" t="e">
        <f t="shared" si="1"/>
        <v>#VALUE!</v>
      </c>
      <c r="E18" s="673" t="e">
        <f t="shared" si="5"/>
        <v>#VALUE!</v>
      </c>
      <c r="F18" s="605" t="e">
        <f t="shared" si="2"/>
        <v>#VALUE!</v>
      </c>
      <c r="G18" s="673" t="e">
        <f t="shared" si="5"/>
        <v>#VALUE!</v>
      </c>
      <c r="H18" s="605" t="e">
        <f t="shared" si="3"/>
        <v>#VALUE!</v>
      </c>
      <c r="I18" s="673" t="e">
        <f t="shared" si="5"/>
        <v>#VALUE!</v>
      </c>
      <c r="J18" s="605" t="e">
        <f t="shared" si="4"/>
        <v>#VALUE!</v>
      </c>
      <c r="K18" s="673" t="e">
        <f t="shared" si="5"/>
        <v>#VALUE!</v>
      </c>
    </row>
    <row r="19" spans="2:11" ht="15">
      <c r="B19" s="605">
        <f t="shared" si="0"/>
        <v>0.9999997118699061</v>
      </c>
      <c r="C19" s="673">
        <f t="shared" si="5"/>
        <v>27642.399999999994</v>
      </c>
      <c r="D19" s="605" t="e">
        <f t="shared" si="1"/>
        <v>#VALUE!</v>
      </c>
      <c r="E19" s="673" t="e">
        <f t="shared" si="5"/>
        <v>#VALUE!</v>
      </c>
      <c r="F19" s="605" t="e">
        <f t="shared" si="2"/>
        <v>#VALUE!</v>
      </c>
      <c r="G19" s="673" t="e">
        <f t="shared" si="5"/>
        <v>#VALUE!</v>
      </c>
      <c r="H19" s="605" t="e">
        <f t="shared" si="3"/>
        <v>#VALUE!</v>
      </c>
      <c r="I19" s="673" t="e">
        <f t="shared" si="5"/>
        <v>#VALUE!</v>
      </c>
      <c r="J19" s="605" t="e">
        <f t="shared" si="4"/>
        <v>#VALUE!</v>
      </c>
      <c r="K19" s="673" t="e">
        <f t="shared" si="5"/>
        <v>#VALUE!</v>
      </c>
    </row>
    <row r="20" spans="2:11" ht="15">
      <c r="B20" s="605">
        <f t="shared" si="0"/>
        <v>0.99999999985249166</v>
      </c>
      <c r="C20" s="673">
        <f t="shared" si="5"/>
        <v>26944.999999999993</v>
      </c>
      <c r="D20" s="605" t="e">
        <f t="shared" si="1"/>
        <v>#VALUE!</v>
      </c>
      <c r="E20" s="673" t="e">
        <f t="shared" si="5"/>
        <v>#VALUE!</v>
      </c>
      <c r="F20" s="605" t="e">
        <f t="shared" si="2"/>
        <v>#VALUE!</v>
      </c>
      <c r="G20" s="673" t="e">
        <f t="shared" si="5"/>
        <v>#VALUE!</v>
      </c>
      <c r="H20" s="605" t="e">
        <f t="shared" si="3"/>
        <v>#VALUE!</v>
      </c>
      <c r="I20" s="673" t="e">
        <f t="shared" si="5"/>
        <v>#VALUE!</v>
      </c>
      <c r="J20" s="605" t="e">
        <f t="shared" si="4"/>
        <v>#VALUE!</v>
      </c>
      <c r="K20" s="673" t="e">
        <f t="shared" si="5"/>
        <v>#VALUE!</v>
      </c>
    </row>
    <row r="21" spans="2:11" ht="15">
      <c r="B21" s="605">
        <f t="shared" si="0"/>
        <v>0.99999999999999223</v>
      </c>
      <c r="C21" s="673">
        <f t="shared" si="5"/>
        <v>26247.599999999991</v>
      </c>
      <c r="D21" s="605" t="e">
        <f t="shared" si="1"/>
        <v>#VALUE!</v>
      </c>
      <c r="E21" s="673" t="e">
        <f t="shared" si="5"/>
        <v>#VALUE!</v>
      </c>
      <c r="F21" s="605" t="e">
        <f t="shared" si="2"/>
        <v>#VALUE!</v>
      </c>
      <c r="G21" s="673" t="e">
        <f t="shared" si="5"/>
        <v>#VALUE!</v>
      </c>
      <c r="H21" s="605" t="e">
        <f t="shared" si="3"/>
        <v>#VALUE!</v>
      </c>
      <c r="I21" s="673" t="e">
        <f t="shared" si="5"/>
        <v>#VALUE!</v>
      </c>
      <c r="J21" s="605" t="e">
        <f t="shared" si="4"/>
        <v>#VALUE!</v>
      </c>
      <c r="K21" s="673" t="e">
        <f t="shared" si="5"/>
        <v>#VALUE!</v>
      </c>
    </row>
    <row r="22" spans="2:11" ht="15">
      <c r="B22" s="605">
        <f t="shared" si="0"/>
        <v>1</v>
      </c>
      <c r="C22" s="673">
        <f t="shared" si="5"/>
        <v>25550.19999999999</v>
      </c>
      <c r="D22" s="605" t="e">
        <f t="shared" si="1"/>
        <v>#VALUE!</v>
      </c>
      <c r="E22" s="673" t="e">
        <f t="shared" si="5"/>
        <v>#VALUE!</v>
      </c>
      <c r="F22" s="605" t="e">
        <f t="shared" si="2"/>
        <v>#VALUE!</v>
      </c>
      <c r="G22" s="673" t="e">
        <f t="shared" si="5"/>
        <v>#VALUE!</v>
      </c>
      <c r="H22" s="605" t="e">
        <f t="shared" si="3"/>
        <v>#VALUE!</v>
      </c>
      <c r="I22" s="673" t="e">
        <f t="shared" si="5"/>
        <v>#VALUE!</v>
      </c>
      <c r="J22" s="605" t="e">
        <f t="shared" si="4"/>
        <v>#VALUE!</v>
      </c>
      <c r="K22" s="673" t="e">
        <f t="shared" si="5"/>
        <v>#VALUE!</v>
      </c>
    </row>
    <row r="23" spans="2:11" ht="15">
      <c r="B23" s="605">
        <f t="shared" si="0"/>
        <v>1</v>
      </c>
      <c r="C23" s="673">
        <f t="shared" si="5"/>
        <v>24852.799999999988</v>
      </c>
      <c r="D23" s="605" t="e">
        <f t="shared" si="1"/>
        <v>#VALUE!</v>
      </c>
      <c r="E23" s="673" t="e">
        <f t="shared" si="5"/>
        <v>#VALUE!</v>
      </c>
      <c r="F23" s="605" t="e">
        <f t="shared" si="2"/>
        <v>#VALUE!</v>
      </c>
      <c r="G23" s="673" t="e">
        <f t="shared" si="5"/>
        <v>#VALUE!</v>
      </c>
      <c r="H23" s="605" t="e">
        <f t="shared" si="3"/>
        <v>#VALUE!</v>
      </c>
      <c r="I23" s="673" t="e">
        <f t="shared" si="5"/>
        <v>#VALUE!</v>
      </c>
      <c r="J23" s="605" t="e">
        <f t="shared" si="4"/>
        <v>#VALUE!</v>
      </c>
      <c r="K23" s="673" t="e">
        <f t="shared" si="5"/>
        <v>#VALUE!</v>
      </c>
    </row>
    <row r="24" spans="2:11" ht="15">
      <c r="B24" s="605">
        <f t="shared" si="0"/>
        <v>1</v>
      </c>
      <c r="C24" s="673">
        <f t="shared" si="5"/>
        <v>24155.399999999987</v>
      </c>
      <c r="D24" s="605" t="e">
        <f t="shared" si="1"/>
        <v>#VALUE!</v>
      </c>
      <c r="E24" s="673" t="e">
        <f t="shared" si="5"/>
        <v>#VALUE!</v>
      </c>
      <c r="F24" s="605" t="e">
        <f t="shared" si="2"/>
        <v>#VALUE!</v>
      </c>
      <c r="G24" s="673" t="e">
        <f t="shared" si="5"/>
        <v>#VALUE!</v>
      </c>
      <c r="H24" s="605" t="e">
        <f t="shared" si="3"/>
        <v>#VALUE!</v>
      </c>
      <c r="I24" s="673" t="e">
        <f t="shared" si="5"/>
        <v>#VALUE!</v>
      </c>
      <c r="J24" s="605" t="e">
        <f t="shared" si="4"/>
        <v>#VALUE!</v>
      </c>
      <c r="K24" s="673" t="e">
        <f t="shared" si="5"/>
        <v>#VALUE!</v>
      </c>
    </row>
    <row r="25" spans="2:11" ht="15">
      <c r="B25" s="605">
        <f t="shared" si="0"/>
        <v>1</v>
      </c>
      <c r="C25" s="673">
        <f t="shared" si="5"/>
        <v>23457.999999999985</v>
      </c>
      <c r="D25" s="605" t="e">
        <f t="shared" si="1"/>
        <v>#VALUE!</v>
      </c>
      <c r="E25" s="673" t="e">
        <f t="shared" si="5"/>
        <v>#VALUE!</v>
      </c>
      <c r="F25" s="605" t="e">
        <f t="shared" si="2"/>
        <v>#VALUE!</v>
      </c>
      <c r="G25" s="673" t="e">
        <f t="shared" si="5"/>
        <v>#VALUE!</v>
      </c>
      <c r="H25" s="605" t="e">
        <f t="shared" si="3"/>
        <v>#VALUE!</v>
      </c>
      <c r="I25" s="673" t="e">
        <f t="shared" si="5"/>
        <v>#VALUE!</v>
      </c>
      <c r="J25" s="605" t="e">
        <f t="shared" si="4"/>
        <v>#VALUE!</v>
      </c>
      <c r="K25" s="673" t="e">
        <f t="shared" si="5"/>
        <v>#VALUE!</v>
      </c>
    </row>
    <row r="26" spans="2:11" ht="15">
      <c r="B26" s="605">
        <f t="shared" si="0"/>
        <v>1</v>
      </c>
      <c r="C26" s="673">
        <f t="shared" si="5"/>
        <v>22760.599999999984</v>
      </c>
      <c r="D26" s="605" t="e">
        <f t="shared" si="1"/>
        <v>#VALUE!</v>
      </c>
      <c r="E26" s="673" t="e">
        <f t="shared" si="5"/>
        <v>#VALUE!</v>
      </c>
      <c r="F26" s="605" t="e">
        <f t="shared" si="2"/>
        <v>#VALUE!</v>
      </c>
      <c r="G26" s="673" t="e">
        <f t="shared" si="5"/>
        <v>#VALUE!</v>
      </c>
      <c r="H26" s="605" t="e">
        <f t="shared" si="3"/>
        <v>#VALUE!</v>
      </c>
      <c r="I26" s="673" t="e">
        <f t="shared" si="5"/>
        <v>#VALUE!</v>
      </c>
      <c r="J26" s="605" t="e">
        <f t="shared" si="4"/>
        <v>#VALUE!</v>
      </c>
      <c r="K26" s="673" t="e">
        <f t="shared" si="5"/>
        <v>#VALUE!</v>
      </c>
    </row>
    <row r="27" spans="2:11" ht="15">
      <c r="B27" s="605">
        <f t="shared" si="0"/>
        <v>1</v>
      </c>
      <c r="C27" s="673">
        <f t="shared" si="5"/>
        <v>22063.199999999983</v>
      </c>
      <c r="D27" s="605" t="e">
        <f t="shared" si="1"/>
        <v>#VALUE!</v>
      </c>
      <c r="E27" s="673" t="e">
        <f t="shared" si="5"/>
        <v>#VALUE!</v>
      </c>
      <c r="F27" s="605" t="e">
        <f t="shared" si="2"/>
        <v>#VALUE!</v>
      </c>
      <c r="G27" s="673" t="e">
        <f t="shared" si="5"/>
        <v>#VALUE!</v>
      </c>
      <c r="H27" s="605" t="e">
        <f t="shared" si="3"/>
        <v>#VALUE!</v>
      </c>
      <c r="I27" s="673" t="e">
        <f t="shared" si="5"/>
        <v>#VALUE!</v>
      </c>
      <c r="J27" s="605" t="e">
        <f t="shared" si="4"/>
        <v>#VALUE!</v>
      </c>
      <c r="K27" s="673" t="e">
        <f t="shared" si="5"/>
        <v>#VALUE!</v>
      </c>
    </row>
    <row r="28" spans="2:11" ht="15">
      <c r="B28" s="605">
        <f t="shared" si="0"/>
        <v>1</v>
      </c>
      <c r="C28" s="673">
        <f t="shared" si="5"/>
        <v>21365.799999999981</v>
      </c>
      <c r="D28" s="605" t="e">
        <f t="shared" si="1"/>
        <v>#VALUE!</v>
      </c>
      <c r="E28" s="673" t="e">
        <f t="shared" si="5"/>
        <v>#VALUE!</v>
      </c>
      <c r="F28" s="605" t="e">
        <f t="shared" si="2"/>
        <v>#VALUE!</v>
      </c>
      <c r="G28" s="673" t="e">
        <f t="shared" si="5"/>
        <v>#VALUE!</v>
      </c>
      <c r="H28" s="605" t="e">
        <f t="shared" si="3"/>
        <v>#VALUE!</v>
      </c>
      <c r="I28" s="673" t="e">
        <f t="shared" si="5"/>
        <v>#VALUE!</v>
      </c>
      <c r="J28" s="605" t="e">
        <f t="shared" si="4"/>
        <v>#VALUE!</v>
      </c>
      <c r="K28" s="673" t="e">
        <f t="shared" si="5"/>
        <v>#VALUE!</v>
      </c>
    </row>
    <row r="29" spans="2:11" ht="15">
      <c r="B29" s="605">
        <f t="shared" si="0"/>
        <v>1</v>
      </c>
      <c r="C29" s="673">
        <f t="shared" si="5"/>
        <v>20668.39999999998</v>
      </c>
      <c r="D29" s="605" t="e">
        <f t="shared" si="1"/>
        <v>#VALUE!</v>
      </c>
      <c r="E29" s="673" t="e">
        <f t="shared" si="5"/>
        <v>#VALUE!</v>
      </c>
      <c r="F29" s="605" t="e">
        <f t="shared" si="2"/>
        <v>#VALUE!</v>
      </c>
      <c r="G29" s="673" t="e">
        <f t="shared" si="5"/>
        <v>#VALUE!</v>
      </c>
      <c r="H29" s="605" t="e">
        <f t="shared" si="3"/>
        <v>#VALUE!</v>
      </c>
      <c r="I29" s="673" t="e">
        <f t="shared" si="5"/>
        <v>#VALUE!</v>
      </c>
      <c r="J29" s="605" t="e">
        <f t="shared" si="4"/>
        <v>#VALUE!</v>
      </c>
      <c r="K29" s="673" t="e">
        <f t="shared" si="5"/>
        <v>#VALUE!</v>
      </c>
    </row>
    <row r="30" spans="2:11" ht="15">
      <c r="B30" s="605">
        <f t="shared" si="0"/>
        <v>1</v>
      </c>
      <c r="C30" s="673">
        <f t="shared" si="5"/>
        <v>19970.999999999978</v>
      </c>
      <c r="D30" s="605" t="e">
        <f t="shared" si="1"/>
        <v>#VALUE!</v>
      </c>
      <c r="E30" s="673" t="e">
        <f t="shared" si="5"/>
        <v>#VALUE!</v>
      </c>
      <c r="F30" s="605" t="e">
        <f t="shared" si="2"/>
        <v>#VALUE!</v>
      </c>
      <c r="G30" s="673" t="e">
        <f t="shared" si="5"/>
        <v>#VALUE!</v>
      </c>
      <c r="H30" s="605" t="e">
        <f t="shared" si="3"/>
        <v>#VALUE!</v>
      </c>
      <c r="I30" s="673" t="e">
        <f t="shared" si="5"/>
        <v>#VALUE!</v>
      </c>
      <c r="J30" s="605" t="e">
        <f t="shared" si="4"/>
        <v>#VALUE!</v>
      </c>
      <c r="K30" s="673" t="e">
        <f t="shared" si="5"/>
        <v>#VALUE!</v>
      </c>
    </row>
    <row r="31" spans="2:11" ht="15">
      <c r="B31" s="605">
        <f t="shared" si="0"/>
        <v>1</v>
      </c>
      <c r="C31" s="673">
        <f t="shared" si="5"/>
        <v>19273.599999999977</v>
      </c>
      <c r="D31" s="605" t="e">
        <f t="shared" si="1"/>
        <v>#VALUE!</v>
      </c>
      <c r="E31" s="673" t="e">
        <f t="shared" si="5"/>
        <v>#VALUE!</v>
      </c>
      <c r="F31" s="605" t="e">
        <f t="shared" si="2"/>
        <v>#VALUE!</v>
      </c>
      <c r="G31" s="673" t="e">
        <f t="shared" si="5"/>
        <v>#VALUE!</v>
      </c>
      <c r="H31" s="605" t="e">
        <f t="shared" si="3"/>
        <v>#VALUE!</v>
      </c>
      <c r="I31" s="673" t="e">
        <f t="shared" si="5"/>
        <v>#VALUE!</v>
      </c>
      <c r="J31" s="605" t="e">
        <f t="shared" si="4"/>
        <v>#VALUE!</v>
      </c>
      <c r="K31" s="673" t="e">
        <f t="shared" si="5"/>
        <v>#VALUE!</v>
      </c>
    </row>
    <row r="32" spans="2:11" ht="15">
      <c r="B32" s="605">
        <f t="shared" si="0"/>
        <v>1</v>
      </c>
      <c r="C32" s="673">
        <f t="shared" si="5"/>
        <v>18576.199999999975</v>
      </c>
      <c r="D32" s="605" t="e">
        <f t="shared" si="1"/>
        <v>#VALUE!</v>
      </c>
      <c r="E32" s="673" t="e">
        <f t="shared" si="5"/>
        <v>#VALUE!</v>
      </c>
      <c r="F32" s="605" t="e">
        <f t="shared" si="2"/>
        <v>#VALUE!</v>
      </c>
      <c r="G32" s="673" t="e">
        <f t="shared" si="5"/>
        <v>#VALUE!</v>
      </c>
      <c r="H32" s="605" t="e">
        <f t="shared" si="3"/>
        <v>#VALUE!</v>
      </c>
      <c r="I32" s="673" t="e">
        <f t="shared" si="5"/>
        <v>#VALUE!</v>
      </c>
      <c r="J32" s="605" t="e">
        <f t="shared" si="4"/>
        <v>#VALUE!</v>
      </c>
      <c r="K32" s="673" t="e">
        <f t="shared" si="5"/>
        <v>#VALUE!</v>
      </c>
    </row>
    <row r="33" spans="2:11" ht="15">
      <c r="B33" s="605">
        <f t="shared" si="0"/>
        <v>1</v>
      </c>
      <c r="C33" s="673">
        <f t="shared" si="5"/>
        <v>17878.799999999974</v>
      </c>
      <c r="D33" s="605" t="e">
        <f t="shared" si="1"/>
        <v>#VALUE!</v>
      </c>
      <c r="E33" s="673" t="e">
        <f t="shared" si="5"/>
        <v>#VALUE!</v>
      </c>
      <c r="F33" s="605" t="e">
        <f t="shared" si="2"/>
        <v>#VALUE!</v>
      </c>
      <c r="G33" s="673" t="e">
        <f t="shared" si="5"/>
        <v>#VALUE!</v>
      </c>
      <c r="H33" s="605" t="e">
        <f t="shared" si="3"/>
        <v>#VALUE!</v>
      </c>
      <c r="I33" s="673" t="e">
        <f t="shared" si="5"/>
        <v>#VALUE!</v>
      </c>
      <c r="J33" s="605" t="e">
        <f t="shared" si="4"/>
        <v>#VALUE!</v>
      </c>
      <c r="K33" s="673" t="e">
        <f t="shared" si="5"/>
        <v>#VALUE!</v>
      </c>
    </row>
    <row r="34" spans="2:11" ht="15">
      <c r="B34" s="605">
        <f t="shared" si="0"/>
        <v>1</v>
      </c>
      <c r="C34" s="673">
        <f t="shared" si="5"/>
        <v>17181.399999999972</v>
      </c>
      <c r="D34" s="605" t="e">
        <f t="shared" si="1"/>
        <v>#VALUE!</v>
      </c>
      <c r="E34" s="673" t="e">
        <f t="shared" si="5"/>
        <v>#VALUE!</v>
      </c>
      <c r="F34" s="605" t="e">
        <f t="shared" si="2"/>
        <v>#VALUE!</v>
      </c>
      <c r="G34" s="673" t="e">
        <f t="shared" si="5"/>
        <v>#VALUE!</v>
      </c>
      <c r="H34" s="605" t="e">
        <f t="shared" si="3"/>
        <v>#VALUE!</v>
      </c>
      <c r="I34" s="673" t="e">
        <f t="shared" si="5"/>
        <v>#VALUE!</v>
      </c>
      <c r="J34" s="605" t="e">
        <f t="shared" si="4"/>
        <v>#VALUE!</v>
      </c>
      <c r="K34" s="673" t="e">
        <f t="shared" si="5"/>
        <v>#VALUE!</v>
      </c>
    </row>
    <row r="35" spans="2:11" ht="15">
      <c r="B35" s="605">
        <f t="shared" si="0"/>
        <v>1</v>
      </c>
      <c r="C35" s="673">
        <f t="shared" si="5"/>
        <v>16483.999999999971</v>
      </c>
      <c r="D35" s="605" t="e">
        <f t="shared" si="1"/>
        <v>#VALUE!</v>
      </c>
      <c r="E35" s="673" t="e">
        <f t="shared" si="5"/>
        <v>#VALUE!</v>
      </c>
      <c r="F35" s="605" t="e">
        <f t="shared" si="2"/>
        <v>#VALUE!</v>
      </c>
      <c r="G35" s="673" t="e">
        <f t="shared" si="5"/>
        <v>#VALUE!</v>
      </c>
      <c r="H35" s="605" t="e">
        <f t="shared" si="3"/>
        <v>#VALUE!</v>
      </c>
      <c r="I35" s="673" t="e">
        <f t="shared" si="5"/>
        <v>#VALUE!</v>
      </c>
      <c r="J35" s="605" t="e">
        <f t="shared" si="4"/>
        <v>#VALUE!</v>
      </c>
      <c r="K35" s="673" t="e">
        <f t="shared" si="5"/>
        <v>#VALUE!</v>
      </c>
    </row>
    <row r="36" spans="2:11" ht="15">
      <c r="B36" s="605">
        <f t="shared" si="0"/>
        <v>1</v>
      </c>
      <c r="C36" s="673">
        <f t="shared" si="5"/>
        <v>15786.599999999971</v>
      </c>
      <c r="D36" s="605" t="e">
        <f t="shared" si="1"/>
        <v>#VALUE!</v>
      </c>
      <c r="E36" s="673" t="e">
        <f t="shared" si="5"/>
        <v>#VALUE!</v>
      </c>
      <c r="F36" s="605" t="e">
        <f t="shared" si="2"/>
        <v>#VALUE!</v>
      </c>
      <c r="G36" s="673" t="e">
        <f t="shared" si="5"/>
        <v>#VALUE!</v>
      </c>
      <c r="H36" s="605" t="e">
        <f t="shared" si="3"/>
        <v>#VALUE!</v>
      </c>
      <c r="I36" s="673" t="e">
        <f t="shared" si="5"/>
        <v>#VALUE!</v>
      </c>
      <c r="J36" s="605" t="e">
        <f t="shared" si="4"/>
        <v>#VALUE!</v>
      </c>
      <c r="K36" s="673" t="e">
        <f t="shared" si="5"/>
        <v>#VALUE!</v>
      </c>
    </row>
    <row r="37" spans="2:11" ht="15">
      <c r="B37" s="605">
        <f t="shared" si="0"/>
        <v>1</v>
      </c>
      <c r="C37" s="673">
        <f t="shared" si="5"/>
        <v>15089.199999999972</v>
      </c>
      <c r="D37" s="605" t="e">
        <f t="shared" si="1"/>
        <v>#VALUE!</v>
      </c>
      <c r="E37" s="673" t="e">
        <f t="shared" si="5"/>
        <v>#VALUE!</v>
      </c>
      <c r="F37" s="605" t="e">
        <f t="shared" si="2"/>
        <v>#VALUE!</v>
      </c>
      <c r="G37" s="673" t="e">
        <f t="shared" si="5"/>
        <v>#VALUE!</v>
      </c>
      <c r="H37" s="605" t="e">
        <f t="shared" si="3"/>
        <v>#VALUE!</v>
      </c>
      <c r="I37" s="673" t="e">
        <f t="shared" si="5"/>
        <v>#VALUE!</v>
      </c>
      <c r="J37" s="605" t="e">
        <f t="shared" si="4"/>
        <v>#VALUE!</v>
      </c>
      <c r="K37" s="673" t="e">
        <f t="shared" si="5"/>
        <v>#VALUE!</v>
      </c>
    </row>
    <row r="38" spans="2:11" ht="15">
      <c r="B38" s="605">
        <f t="shared" si="0"/>
        <v>1</v>
      </c>
      <c r="C38" s="673">
        <f t="shared" si="5"/>
        <v>14391.799999999972</v>
      </c>
      <c r="D38" s="605" t="e">
        <f t="shared" si="1"/>
        <v>#VALUE!</v>
      </c>
      <c r="E38" s="673" t="e">
        <f t="shared" si="5"/>
        <v>#VALUE!</v>
      </c>
      <c r="F38" s="605" t="e">
        <f t="shared" si="2"/>
        <v>#VALUE!</v>
      </c>
      <c r="G38" s="673" t="e">
        <f t="shared" si="5"/>
        <v>#VALUE!</v>
      </c>
      <c r="H38" s="605" t="e">
        <f t="shared" si="3"/>
        <v>#VALUE!</v>
      </c>
      <c r="I38" s="673" t="e">
        <f t="shared" si="5"/>
        <v>#VALUE!</v>
      </c>
      <c r="J38" s="605" t="e">
        <f t="shared" si="4"/>
        <v>#VALUE!</v>
      </c>
      <c r="K38" s="673" t="e">
        <f t="shared" si="5"/>
        <v>#VALUE!</v>
      </c>
    </row>
    <row r="39" spans="2:11" ht="15">
      <c r="B39" s="605">
        <f t="shared" si="0"/>
        <v>1</v>
      </c>
      <c r="C39" s="673">
        <f t="shared" si="5"/>
        <v>13694.399999999972</v>
      </c>
      <c r="D39" s="605" t="e">
        <f t="shared" si="1"/>
        <v>#VALUE!</v>
      </c>
      <c r="E39" s="673" t="e">
        <f t="shared" si="5"/>
        <v>#VALUE!</v>
      </c>
      <c r="F39" s="605" t="e">
        <f t="shared" si="2"/>
        <v>#VALUE!</v>
      </c>
      <c r="G39" s="673" t="e">
        <f t="shared" si="5"/>
        <v>#VALUE!</v>
      </c>
      <c r="H39" s="605" t="e">
        <f t="shared" si="3"/>
        <v>#VALUE!</v>
      </c>
      <c r="I39" s="673" t="e">
        <f t="shared" si="5"/>
        <v>#VALUE!</v>
      </c>
      <c r="J39" s="605" t="e">
        <f t="shared" si="4"/>
        <v>#VALUE!</v>
      </c>
      <c r="K39" s="673" t="e">
        <f t="shared" si="5"/>
        <v>#VALUE!</v>
      </c>
    </row>
    <row r="40" spans="2:11" ht="15">
      <c r="B40" s="605">
        <f t="shared" si="0"/>
        <v>1</v>
      </c>
      <c r="C40" s="673">
        <f t="shared" si="5"/>
        <v>12996.999999999973</v>
      </c>
      <c r="D40" s="605" t="e">
        <f t="shared" si="1"/>
        <v>#VALUE!</v>
      </c>
      <c r="E40" s="673" t="e">
        <f t="shared" si="5"/>
        <v>#VALUE!</v>
      </c>
      <c r="F40" s="605" t="e">
        <f t="shared" si="2"/>
        <v>#VALUE!</v>
      </c>
      <c r="G40" s="673" t="e">
        <f t="shared" si="5"/>
        <v>#VALUE!</v>
      </c>
      <c r="H40" s="605" t="e">
        <f t="shared" si="3"/>
        <v>#VALUE!</v>
      </c>
      <c r="I40" s="673" t="e">
        <f t="shared" si="5"/>
        <v>#VALUE!</v>
      </c>
      <c r="J40" s="605" t="e">
        <f t="shared" si="4"/>
        <v>#VALUE!</v>
      </c>
      <c r="K40" s="673" t="e">
        <f t="shared" si="5"/>
        <v>#VALUE!</v>
      </c>
    </row>
    <row r="41" spans="2:11" ht="15">
      <c r="B41" s="605">
        <f t="shared" si="0"/>
        <v>1</v>
      </c>
      <c r="C41" s="673">
        <f t="shared" si="5"/>
        <v>12299.599999999973</v>
      </c>
      <c r="D41" s="605" t="e">
        <f t="shared" si="1"/>
        <v>#VALUE!</v>
      </c>
      <c r="E41" s="673" t="e">
        <f t="shared" si="5"/>
        <v>#VALUE!</v>
      </c>
      <c r="F41" s="605" t="e">
        <f t="shared" si="2"/>
        <v>#VALUE!</v>
      </c>
      <c r="G41" s="673" t="e">
        <f t="shared" si="5"/>
        <v>#VALUE!</v>
      </c>
      <c r="H41" s="605" t="e">
        <f t="shared" si="3"/>
        <v>#VALUE!</v>
      </c>
      <c r="I41" s="673" t="e">
        <f t="shared" si="5"/>
        <v>#VALUE!</v>
      </c>
      <c r="J41" s="605" t="e">
        <f t="shared" si="4"/>
        <v>#VALUE!</v>
      </c>
      <c r="K41" s="673" t="e">
        <f t="shared" si="5"/>
        <v>#VALUE!</v>
      </c>
    </row>
    <row r="42" spans="2:11" ht="15">
      <c r="B42" s="605">
        <f t="shared" si="0"/>
        <v>1</v>
      </c>
      <c r="C42" s="673">
        <f t="shared" si="5"/>
        <v>11602.199999999973</v>
      </c>
      <c r="D42" s="605" t="e">
        <f t="shared" si="1"/>
        <v>#VALUE!</v>
      </c>
      <c r="E42" s="673" t="e">
        <f t="shared" si="5"/>
        <v>#VALUE!</v>
      </c>
      <c r="F42" s="605" t="e">
        <f t="shared" si="2"/>
        <v>#VALUE!</v>
      </c>
      <c r="G42" s="673" t="e">
        <f t="shared" si="5"/>
        <v>#VALUE!</v>
      </c>
      <c r="H42" s="605" t="e">
        <f t="shared" si="3"/>
        <v>#VALUE!</v>
      </c>
      <c r="I42" s="673" t="e">
        <f t="shared" si="5"/>
        <v>#VALUE!</v>
      </c>
      <c r="J42" s="605" t="e">
        <f t="shared" si="4"/>
        <v>#VALUE!</v>
      </c>
      <c r="K42" s="673" t="e">
        <f t="shared" si="5"/>
        <v>#VALUE!</v>
      </c>
    </row>
    <row r="43" spans="2:11" ht="15">
      <c r="B43" s="605">
        <f t="shared" si="0"/>
        <v>1</v>
      </c>
      <c r="C43" s="673">
        <f t="shared" si="5"/>
        <v>10904.799999999974</v>
      </c>
      <c r="D43" s="605" t="e">
        <f t="shared" si="1"/>
        <v>#VALUE!</v>
      </c>
      <c r="E43" s="673" t="e">
        <f t="shared" si="5"/>
        <v>#VALUE!</v>
      </c>
      <c r="F43" s="605" t="e">
        <f t="shared" si="2"/>
        <v>#VALUE!</v>
      </c>
      <c r="G43" s="673" t="e">
        <f t="shared" si="5"/>
        <v>#VALUE!</v>
      </c>
      <c r="H43" s="605" t="e">
        <f t="shared" si="3"/>
        <v>#VALUE!</v>
      </c>
      <c r="I43" s="673" t="e">
        <f t="shared" si="5"/>
        <v>#VALUE!</v>
      </c>
      <c r="J43" s="605" t="e">
        <f t="shared" si="4"/>
        <v>#VALUE!</v>
      </c>
      <c r="K43" s="673" t="e">
        <f t="shared" si="5"/>
        <v>#VALUE!</v>
      </c>
    </row>
    <row r="44" spans="2:11" ht="15">
      <c r="B44" s="605">
        <f t="shared" si="0"/>
        <v>1</v>
      </c>
      <c r="C44" s="673">
        <f t="shared" si="5"/>
        <v>10207.399999999974</v>
      </c>
      <c r="D44" s="605" t="e">
        <f t="shared" si="1"/>
        <v>#VALUE!</v>
      </c>
      <c r="E44" s="673" t="e">
        <f t="shared" si="5"/>
        <v>#VALUE!</v>
      </c>
      <c r="F44" s="605" t="e">
        <f t="shared" si="2"/>
        <v>#VALUE!</v>
      </c>
      <c r="G44" s="673" t="e">
        <f t="shared" si="5"/>
        <v>#VALUE!</v>
      </c>
      <c r="H44" s="605" t="e">
        <f t="shared" si="3"/>
        <v>#VALUE!</v>
      </c>
      <c r="I44" s="673" t="e">
        <f t="shared" si="5"/>
        <v>#VALUE!</v>
      </c>
      <c r="J44" s="605" t="e">
        <f t="shared" si="4"/>
        <v>#VALUE!</v>
      </c>
      <c r="K44" s="673" t="e">
        <f t="shared" si="5"/>
        <v>#VALUE!</v>
      </c>
    </row>
    <row r="45" spans="2:11" ht="15">
      <c r="B45" s="605">
        <f t="shared" si="0"/>
        <v>1</v>
      </c>
      <c r="C45" s="673">
        <f t="shared" si="5"/>
        <v>9509.9999999999745</v>
      </c>
      <c r="D45" s="605" t="e">
        <f t="shared" si="1"/>
        <v>#VALUE!</v>
      </c>
      <c r="E45" s="673" t="e">
        <f t="shared" si="5"/>
        <v>#VALUE!</v>
      </c>
      <c r="F45" s="605" t="e">
        <f t="shared" si="2"/>
        <v>#VALUE!</v>
      </c>
      <c r="G45" s="673" t="e">
        <f t="shared" si="5"/>
        <v>#VALUE!</v>
      </c>
      <c r="H45" s="605" t="e">
        <f t="shared" si="3"/>
        <v>#VALUE!</v>
      </c>
      <c r="I45" s="673" t="e">
        <f t="shared" si="5"/>
        <v>#VALUE!</v>
      </c>
      <c r="J45" s="605" t="e">
        <f t="shared" si="4"/>
        <v>#VALUE!</v>
      </c>
      <c r="K45" s="673" t="e">
        <f t="shared" si="5"/>
        <v>#VALUE!</v>
      </c>
    </row>
    <row r="46" spans="2:11" ht="15">
      <c r="B46" s="605">
        <f t="shared" si="0"/>
        <v>1</v>
      </c>
      <c r="C46" s="673">
        <f t="shared" si="5"/>
        <v>8812.5999999999749</v>
      </c>
      <c r="D46" s="605" t="e">
        <f t="shared" si="1"/>
        <v>#VALUE!</v>
      </c>
      <c r="E46" s="673" t="e">
        <f t="shared" si="5"/>
        <v>#VALUE!</v>
      </c>
      <c r="F46" s="605" t="e">
        <f t="shared" si="2"/>
        <v>#VALUE!</v>
      </c>
      <c r="G46" s="673" t="e">
        <f t="shared" si="5"/>
        <v>#VALUE!</v>
      </c>
      <c r="H46" s="605" t="e">
        <f t="shared" si="3"/>
        <v>#VALUE!</v>
      </c>
      <c r="I46" s="673" t="e">
        <f t="shared" si="5"/>
        <v>#VALUE!</v>
      </c>
      <c r="J46" s="605" t="e">
        <f t="shared" si="4"/>
        <v>#VALUE!</v>
      </c>
      <c r="K46" s="673" t="e">
        <f t="shared" si="5"/>
        <v>#VALUE!</v>
      </c>
    </row>
    <row r="47" spans="2:11" ht="15">
      <c r="B47" s="605">
        <f t="shared" si="0"/>
        <v>1</v>
      </c>
      <c r="C47" s="673">
        <f t="shared" si="5"/>
        <v>8115.1999999999753</v>
      </c>
      <c r="D47" s="605" t="e">
        <f t="shared" si="1"/>
        <v>#VALUE!</v>
      </c>
      <c r="E47" s="673" t="e">
        <f t="shared" si="5"/>
        <v>#VALUE!</v>
      </c>
      <c r="F47" s="605" t="e">
        <f t="shared" si="2"/>
        <v>#VALUE!</v>
      </c>
      <c r="G47" s="673" t="e">
        <f t="shared" si="5"/>
        <v>#VALUE!</v>
      </c>
      <c r="H47" s="605" t="e">
        <f t="shared" si="3"/>
        <v>#VALUE!</v>
      </c>
      <c r="I47" s="673" t="e">
        <f t="shared" si="5"/>
        <v>#VALUE!</v>
      </c>
      <c r="J47" s="605" t="e">
        <f t="shared" si="4"/>
        <v>#VALUE!</v>
      </c>
      <c r="K47" s="673" t="e">
        <f t="shared" si="5"/>
        <v>#VALUE!</v>
      </c>
    </row>
    <row r="48" spans="2:11" ht="15">
      <c r="B48" s="605">
        <f t="shared" si="0"/>
        <v>1</v>
      </c>
      <c r="C48" s="673">
        <f t="shared" si="5"/>
        <v>7417.7999999999756</v>
      </c>
      <c r="D48" s="605" t="e">
        <f t="shared" si="1"/>
        <v>#VALUE!</v>
      </c>
      <c r="E48" s="673" t="e">
        <f t="shared" si="5"/>
        <v>#VALUE!</v>
      </c>
      <c r="F48" s="605" t="e">
        <f t="shared" si="2"/>
        <v>#VALUE!</v>
      </c>
      <c r="G48" s="673" t="e">
        <f t="shared" si="5"/>
        <v>#VALUE!</v>
      </c>
      <c r="H48" s="605" t="e">
        <f t="shared" si="3"/>
        <v>#VALUE!</v>
      </c>
      <c r="I48" s="673" t="e">
        <f t="shared" si="5"/>
        <v>#VALUE!</v>
      </c>
      <c r="J48" s="605" t="e">
        <f t="shared" si="4"/>
        <v>#VALUE!</v>
      </c>
      <c r="K48" s="673" t="e">
        <f t="shared" si="5"/>
        <v>#VALUE!</v>
      </c>
    </row>
    <row r="49" spans="2:11" ht="15">
      <c r="B49" s="605">
        <f t="shared" si="0"/>
        <v>1</v>
      </c>
      <c r="C49" s="673">
        <f t="shared" si="5"/>
        <v>6720.399999999976</v>
      </c>
      <c r="D49" s="605" t="e">
        <f t="shared" si="1"/>
        <v>#VALUE!</v>
      </c>
      <c r="E49" s="673" t="e">
        <f t="shared" si="5"/>
        <v>#VALUE!</v>
      </c>
      <c r="F49" s="605" t="e">
        <f t="shared" si="2"/>
        <v>#VALUE!</v>
      </c>
      <c r="G49" s="673" t="e">
        <f t="shared" si="5"/>
        <v>#VALUE!</v>
      </c>
      <c r="H49" s="605" t="e">
        <f t="shared" si="3"/>
        <v>#VALUE!</v>
      </c>
      <c r="I49" s="673" t="e">
        <f t="shared" si="5"/>
        <v>#VALUE!</v>
      </c>
      <c r="J49" s="605" t="e">
        <f t="shared" si="4"/>
        <v>#VALUE!</v>
      </c>
      <c r="K49" s="673" t="e">
        <f t="shared" si="5"/>
        <v>#VALUE!</v>
      </c>
    </row>
    <row r="50" spans="2:11" ht="15">
      <c r="B50" s="605">
        <f t="shared" si="0"/>
        <v>1</v>
      </c>
      <c r="C50" s="673">
        <f t="shared" si="5"/>
        <v>6022.9999999999764</v>
      </c>
      <c r="D50" s="605" t="e">
        <f t="shared" si="1"/>
        <v>#VALUE!</v>
      </c>
      <c r="E50" s="673" t="e">
        <f t="shared" si="5"/>
        <v>#VALUE!</v>
      </c>
      <c r="F50" s="605" t="e">
        <f t="shared" si="2"/>
        <v>#VALUE!</v>
      </c>
      <c r="G50" s="673" t="e">
        <f t="shared" si="5"/>
        <v>#VALUE!</v>
      </c>
      <c r="H50" s="605" t="e">
        <f t="shared" si="3"/>
        <v>#VALUE!</v>
      </c>
      <c r="I50" s="673" t="e">
        <f t="shared" si="5"/>
        <v>#VALUE!</v>
      </c>
      <c r="J50" s="605" t="e">
        <f t="shared" si="4"/>
        <v>#VALUE!</v>
      </c>
      <c r="K50" s="673" t="e">
        <f t="shared" si="5"/>
        <v>#VALUE!</v>
      </c>
    </row>
    <row r="51" spans="2:11" ht="15">
      <c r="B51" s="605">
        <f t="shared" si="0"/>
        <v>1</v>
      </c>
      <c r="C51" s="673">
        <f t="shared" si="5"/>
        <v>5325.5999999999767</v>
      </c>
      <c r="D51" s="605" t="e">
        <f t="shared" si="1"/>
        <v>#VALUE!</v>
      </c>
      <c r="E51" s="673" t="e">
        <f t="shared" si="5"/>
        <v>#VALUE!</v>
      </c>
      <c r="F51" s="605" t="e">
        <f t="shared" si="2"/>
        <v>#VALUE!</v>
      </c>
      <c r="G51" s="673" t="e">
        <f t="shared" si="5"/>
        <v>#VALUE!</v>
      </c>
      <c r="H51" s="605" t="e">
        <f t="shared" si="3"/>
        <v>#VALUE!</v>
      </c>
      <c r="I51" s="673" t="e">
        <f t="shared" si="5"/>
        <v>#VALUE!</v>
      </c>
      <c r="J51" s="605" t="e">
        <f t="shared" si="4"/>
        <v>#VALUE!</v>
      </c>
      <c r="K51" s="673" t="e">
        <f t="shared" si="5"/>
        <v>#VALUE!</v>
      </c>
    </row>
    <row r="52" spans="2:11" ht="15">
      <c r="B52" s="605">
        <f t="shared" si="0"/>
        <v>1</v>
      </c>
      <c r="C52" s="673">
        <f t="shared" si="5"/>
        <v>4628.1999999999771</v>
      </c>
      <c r="D52" s="605" t="e">
        <f t="shared" si="1"/>
        <v>#VALUE!</v>
      </c>
      <c r="E52" s="673" t="e">
        <f t="shared" si="5"/>
        <v>#VALUE!</v>
      </c>
      <c r="F52" s="605" t="e">
        <f t="shared" si="2"/>
        <v>#VALUE!</v>
      </c>
      <c r="G52" s="673" t="e">
        <f t="shared" si="5"/>
        <v>#VALUE!</v>
      </c>
      <c r="H52" s="605" t="e">
        <f t="shared" si="3"/>
        <v>#VALUE!</v>
      </c>
      <c r="I52" s="673" t="e">
        <f t="shared" si="5"/>
        <v>#VALUE!</v>
      </c>
      <c r="J52" s="605" t="e">
        <f t="shared" si="4"/>
        <v>#VALUE!</v>
      </c>
      <c r="K52" s="673" t="e">
        <f t="shared" si="5"/>
        <v>#VALUE!</v>
      </c>
    </row>
    <row r="53" spans="2:11" ht="15">
      <c r="B53" s="605">
        <f t="shared" si="0"/>
        <v>1</v>
      </c>
      <c r="C53" s="673">
        <f t="shared" si="5"/>
        <v>3930.799999999977</v>
      </c>
      <c r="D53" s="605" t="e">
        <f t="shared" si="1"/>
        <v>#VALUE!</v>
      </c>
      <c r="E53" s="673" t="e">
        <f t="shared" si="5"/>
        <v>#VALUE!</v>
      </c>
      <c r="F53" s="605" t="e">
        <f t="shared" si="2"/>
        <v>#VALUE!</v>
      </c>
      <c r="G53" s="673" t="e">
        <f t="shared" si="5"/>
        <v>#VALUE!</v>
      </c>
      <c r="H53" s="605" t="e">
        <f t="shared" si="3"/>
        <v>#VALUE!</v>
      </c>
      <c r="I53" s="673" t="e">
        <f t="shared" si="5"/>
        <v>#VALUE!</v>
      </c>
      <c r="J53" s="605" t="e">
        <f t="shared" si="4"/>
        <v>#VALUE!</v>
      </c>
      <c r="K53" s="673" t="e">
        <f t="shared" si="5"/>
        <v>#VALUE!</v>
      </c>
    </row>
    <row r="54" spans="2:11" ht="15">
      <c r="B54" s="605">
        <f t="shared" si="0"/>
        <v>1</v>
      </c>
      <c r="C54" s="673">
        <f t="shared" si="5"/>
        <v>3233.3999999999769</v>
      </c>
      <c r="D54" s="605" t="e">
        <f t="shared" si="1"/>
        <v>#VALUE!</v>
      </c>
      <c r="E54" s="673" t="e">
        <f t="shared" si="5"/>
        <v>#VALUE!</v>
      </c>
      <c r="F54" s="605" t="e">
        <f t="shared" si="2"/>
        <v>#VALUE!</v>
      </c>
      <c r="G54" s="673" t="e">
        <f t="shared" si="5"/>
        <v>#VALUE!</v>
      </c>
      <c r="H54" s="605" t="e">
        <f t="shared" si="3"/>
        <v>#VALUE!</v>
      </c>
      <c r="I54" s="673" t="e">
        <f t="shared" si="5"/>
        <v>#VALUE!</v>
      </c>
      <c r="J54" s="605" t="e">
        <f t="shared" si="4"/>
        <v>#VALUE!</v>
      </c>
      <c r="K54" s="673" t="e">
        <f t="shared" si="5"/>
        <v>#VALUE!</v>
      </c>
    </row>
    <row r="55" spans="2:11" ht="15">
      <c r="B55" s="606">
        <f t="shared" si="0"/>
        <v>1</v>
      </c>
      <c r="C55" s="680">
        <f>B10</f>
        <v>2536</v>
      </c>
      <c r="D55" s="606" t="e">
        <f t="shared" si="1"/>
        <v>#VALUE!</v>
      </c>
      <c r="E55" s="680" t="e">
        <f>D10</f>
        <v>#VALUE!</v>
      </c>
      <c r="F55" s="606" t="e">
        <f t="shared" si="2"/>
        <v>#VALUE!</v>
      </c>
      <c r="G55" s="680" t="e">
        <f>F10</f>
        <v>#VALUE!</v>
      </c>
      <c r="H55" s="606" t="e">
        <f t="shared" si="3"/>
        <v>#VALUE!</v>
      </c>
      <c r="I55" s="680" t="e">
        <f>H10</f>
        <v>#VALUE!</v>
      </c>
      <c r="J55" s="606" t="e">
        <f t="shared" si="4"/>
        <v>#VALUE!</v>
      </c>
      <c r="K55" s="680" t="e">
        <f>J10</f>
        <v>#VALUE!</v>
      </c>
    </row>
    <row r="56" spans="2:11" ht="15">
      <c r="B56" s="681"/>
      <c r="C56" s="682"/>
      <c r="D56" s="681"/>
      <c r="E56" s="682"/>
      <c r="F56" s="681"/>
      <c r="G56" s="682"/>
      <c r="H56" s="681"/>
      <c r="I56" s="682"/>
      <c r="J56" s="681"/>
      <c r="K56" s="682"/>
    </row>
    <row r="57" spans="2:11" ht="15">
      <c r="B57" s="608"/>
      <c r="C57" s="609"/>
      <c r="D57" s="608"/>
      <c r="E57" s="609"/>
      <c r="F57" s="608"/>
      <c r="G57" s="609"/>
      <c r="H57" s="608"/>
      <c r="I57" s="609"/>
      <c r="J57" s="608"/>
      <c r="K57" s="609"/>
    </row>
    <row r="58" spans="2:11" ht="15">
      <c r="B58" s="608"/>
      <c r="C58" s="609"/>
      <c r="D58" s="608"/>
      <c r="E58" s="609"/>
      <c r="F58" s="608"/>
      <c r="G58" s="609"/>
      <c r="H58" s="608"/>
      <c r="I58" s="609"/>
      <c r="J58" s="608"/>
      <c r="K58" s="609"/>
    </row>
    <row r="59" spans="2:11" ht="15">
      <c r="B59" s="608"/>
      <c r="C59" s="609"/>
      <c r="D59" s="608"/>
      <c r="E59" s="609"/>
      <c r="F59" s="608"/>
      <c r="G59" s="609"/>
      <c r="H59" s="608"/>
      <c r="I59" s="609"/>
      <c r="J59" s="608"/>
      <c r="K59" s="609"/>
    </row>
    <row r="60" spans="2:11" ht="15">
      <c r="B60" s="608"/>
      <c r="C60" s="609"/>
      <c r="D60" s="608"/>
      <c r="E60" s="609"/>
      <c r="F60" s="608"/>
      <c r="G60" s="609"/>
      <c r="H60" s="608"/>
      <c r="I60" s="609"/>
      <c r="J60" s="608"/>
      <c r="K60" s="609"/>
    </row>
    <row r="61" spans="2:11" ht="15">
      <c r="B61" s="608"/>
      <c r="C61" s="609"/>
    </row>
    <row r="62" spans="2:11" ht="15">
      <c r="B62" s="601"/>
      <c r="C62" s="602"/>
    </row>
    <row r="63" spans="2:11" ht="15">
      <c r="B63" s="601"/>
      <c r="C63" s="602"/>
    </row>
    <row r="64" spans="2:11" ht="15">
      <c r="B64" s="601"/>
      <c r="C64" s="602"/>
    </row>
    <row r="65" spans="2:3" ht="15">
      <c r="B65" s="601"/>
      <c r="C65" s="602"/>
    </row>
    <row r="66" spans="2:3" ht="15">
      <c r="B66" s="601"/>
      <c r="C66" s="602"/>
    </row>
    <row r="67" spans="2:3" ht="15">
      <c r="B67" s="601"/>
      <c r="C67" s="602"/>
    </row>
    <row r="68" spans="2:3" ht="15">
      <c r="B68" s="601"/>
      <c r="C68" s="602"/>
    </row>
    <row r="69" spans="2:3" ht="15">
      <c r="B69" s="601"/>
      <c r="C69" s="602"/>
    </row>
    <row r="70" spans="2:3" ht="15">
      <c r="B70" s="601"/>
      <c r="C70" s="602"/>
    </row>
  </sheetData>
  <sheetProtection password="CF7A" sheet="1" objects="1" scenarios="1"/>
  <mergeCells count="5">
    <mergeCell ref="B4:C4"/>
    <mergeCell ref="D4:E4"/>
    <mergeCell ref="F4:G4"/>
    <mergeCell ref="H4:I4"/>
    <mergeCell ref="J4:K4"/>
  </mergeCell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0-Revision History</vt:lpstr>
      <vt:lpstr>A-Model-Area-Demographics</vt:lpstr>
      <vt:lpstr>B-Wireless-Input-System Gain</vt:lpstr>
      <vt:lpstr>C-SG Ntwrk-Input-BS-Output </vt:lpstr>
      <vt:lpstr>1-Range_Estimator</vt:lpstr>
      <vt:lpstr>2-SNR-Chan Cap vs Range</vt:lpstr>
      <vt:lpstr>3-SNR-Chan SE vs Range</vt:lpstr>
      <vt:lpstr>4-Latency Analysis</vt:lpstr>
      <vt:lpstr>Sheet1</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 Gray</dc:creator>
  <cp:lastModifiedBy>Tim Godfrey</cp:lastModifiedBy>
  <dcterms:created xsi:type="dcterms:W3CDTF">2011-07-07T17:22:17Z</dcterms:created>
  <dcterms:modified xsi:type="dcterms:W3CDTF">2012-05-17T18:22:27Z</dcterms:modified>
</cp:coreProperties>
</file>