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AGee\Documents\1 Consulting\1a-EPRI\IEEE-802-16 meetings\Session 111-Sept-2017\"/>
    </mc:Choice>
  </mc:AlternateContent>
  <bookViews>
    <workbookView xWindow="0" yWindow="0" windowWidth="20415" windowHeight="5955"/>
  </bookViews>
  <sheets>
    <sheet name="Cover Sheet" sheetId="17" r:id="rId1"/>
    <sheet name="1-SubGroup 4" sheetId="5" r:id="rId2"/>
    <sheet name="2-SubGroup 3,2,1" sheetId="3" r:id="rId3"/>
    <sheet name="3-SG-1,2 Profiles" sheetId="16" r:id="rId4"/>
  </sheets>
  <externalReferences>
    <externalReference r:id="rId5"/>
  </externalReferences>
  <definedNames>
    <definedName name="AAS_Gain">'[1]2.0 Demographics_&amp;_Req_Capacity'!$C$31</definedName>
    <definedName name="CTC_Gain">'[1]2.0 Demographics_&amp;_Req_Capacity'!$C$33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3" l="1"/>
  <c r="J33" i="3"/>
  <c r="I33" i="3"/>
  <c r="H33" i="3"/>
  <c r="G33" i="3"/>
  <c r="F33" i="3"/>
  <c r="E33" i="3"/>
  <c r="D33" i="3"/>
  <c r="C33" i="3"/>
  <c r="M33" i="5"/>
  <c r="L33" i="5"/>
  <c r="K33" i="5"/>
  <c r="J33" i="5"/>
  <c r="I33" i="5"/>
  <c r="H33" i="5"/>
  <c r="G33" i="5"/>
  <c r="F33" i="5"/>
  <c r="E33" i="5"/>
  <c r="D33" i="5"/>
  <c r="C33" i="5"/>
  <c r="G31" i="16" l="1"/>
  <c r="G3" i="16"/>
  <c r="D73" i="3"/>
  <c r="J70" i="3"/>
  <c r="G70" i="3"/>
  <c r="C70" i="3"/>
  <c r="D53" i="3"/>
  <c r="E53" i="3" s="1"/>
  <c r="G48" i="3"/>
  <c r="H48" i="3" s="1"/>
  <c r="I48" i="3" s="1"/>
  <c r="J48" i="3" s="1"/>
  <c r="K48" i="3" s="1"/>
  <c r="D48" i="3"/>
  <c r="E48" i="3" s="1"/>
  <c r="F48" i="3" s="1"/>
  <c r="J44" i="3"/>
  <c r="G44" i="3"/>
  <c r="C44" i="3"/>
  <c r="D43" i="3"/>
  <c r="F42" i="3"/>
  <c r="C42" i="3"/>
  <c r="D42" i="3" s="1"/>
  <c r="E42" i="3" s="1"/>
  <c r="E43" i="3" s="1"/>
  <c r="D41" i="3"/>
  <c r="F40" i="3"/>
  <c r="C40" i="3"/>
  <c r="D40" i="3" s="1"/>
  <c r="E40" i="3" s="1"/>
  <c r="E41" i="3" s="1"/>
  <c r="K37" i="3"/>
  <c r="H37" i="3"/>
  <c r="I37" i="3" s="1"/>
  <c r="F37" i="3"/>
  <c r="D37" i="3"/>
  <c r="E37" i="3" s="1"/>
  <c r="K36" i="3"/>
  <c r="D36" i="3"/>
  <c r="E36" i="3" s="1"/>
  <c r="F36" i="3" s="1"/>
  <c r="G36" i="3" s="1"/>
  <c r="H36" i="3" s="1"/>
  <c r="I36" i="3" s="1"/>
  <c r="J36" i="3" s="1"/>
  <c r="J35" i="3"/>
  <c r="G35" i="3"/>
  <c r="K34" i="3"/>
  <c r="J34" i="3"/>
  <c r="G34" i="3"/>
  <c r="C34" i="3"/>
  <c r="C27" i="3"/>
  <c r="J26" i="3"/>
  <c r="G26" i="3"/>
  <c r="F26" i="3"/>
  <c r="C26" i="3"/>
  <c r="K25" i="3"/>
  <c r="H25" i="3"/>
  <c r="H70" i="3" s="1"/>
  <c r="F25" i="3"/>
  <c r="E25" i="3"/>
  <c r="D25" i="3"/>
  <c r="K22" i="3"/>
  <c r="I22" i="3"/>
  <c r="H22" i="3"/>
  <c r="D22" i="3"/>
  <c r="E22" i="3" s="1"/>
  <c r="F22" i="3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D16" i="3"/>
  <c r="C16" i="3"/>
  <c r="C17" i="3" s="1"/>
  <c r="C21" i="3" s="1"/>
  <c r="K8" i="3"/>
  <c r="K12" i="3" s="1"/>
  <c r="J8" i="3"/>
  <c r="I8" i="3"/>
  <c r="H8" i="3"/>
  <c r="G8" i="3"/>
  <c r="F8" i="3"/>
  <c r="E8" i="3"/>
  <c r="D8" i="3"/>
  <c r="C8" i="3"/>
  <c r="C9" i="3" s="1"/>
  <c r="E7" i="3"/>
  <c r="F7" i="3" s="1"/>
  <c r="G7" i="3" s="1"/>
  <c r="H7" i="3" s="1"/>
  <c r="I7" i="3" s="1"/>
  <c r="J7" i="3" s="1"/>
  <c r="K7" i="3" s="1"/>
  <c r="D7" i="3"/>
  <c r="F6" i="3"/>
  <c r="G6" i="3" s="1"/>
  <c r="H6" i="3" s="1"/>
  <c r="I6" i="3" s="1"/>
  <c r="J6" i="3" s="1"/>
  <c r="K6" i="3" s="1"/>
  <c r="E6" i="3"/>
  <c r="D6" i="3"/>
  <c r="J5" i="3"/>
  <c r="K5" i="3" s="1"/>
  <c r="G5" i="3"/>
  <c r="H5" i="3" s="1"/>
  <c r="I5" i="3" s="1"/>
  <c r="F5" i="3"/>
  <c r="E5" i="3"/>
  <c r="D5" i="3"/>
  <c r="K4" i="3"/>
  <c r="H4" i="3"/>
  <c r="D4" i="3"/>
  <c r="D12" i="3" s="1"/>
  <c r="J3" i="3"/>
  <c r="K3" i="3" s="1"/>
  <c r="D3" i="3"/>
  <c r="E3" i="3" s="1"/>
  <c r="F3" i="3" s="1"/>
  <c r="G3" i="3" s="1"/>
  <c r="H3" i="3" s="1"/>
  <c r="I3" i="3" s="1"/>
  <c r="E2" i="3"/>
  <c r="D2" i="3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D83" i="5"/>
  <c r="D70" i="5"/>
  <c r="C70" i="5"/>
  <c r="G53" i="5"/>
  <c r="F53" i="5"/>
  <c r="E53" i="5"/>
  <c r="E48" i="5"/>
  <c r="F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Q48" i="5" s="1"/>
  <c r="D44" i="5"/>
  <c r="C44" i="5"/>
  <c r="G43" i="5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C43" i="5"/>
  <c r="G42" i="5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F42" i="5"/>
  <c r="E42" i="5"/>
  <c r="D42" i="5"/>
  <c r="D43" i="5" s="1"/>
  <c r="E43" i="5" s="1"/>
  <c r="F43" i="5" s="1"/>
  <c r="C41" i="5"/>
  <c r="E40" i="5"/>
  <c r="E41" i="5" s="1"/>
  <c r="D40" i="5"/>
  <c r="D41" i="5" s="1"/>
  <c r="E37" i="5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G36" i="5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F36" i="5"/>
  <c r="E36" i="5"/>
  <c r="E34" i="5"/>
  <c r="D34" i="5"/>
  <c r="C34" i="5"/>
  <c r="D26" i="5"/>
  <c r="C26" i="5"/>
  <c r="F25" i="5"/>
  <c r="F70" i="5" s="1"/>
  <c r="E25" i="5"/>
  <c r="E70" i="5" s="1"/>
  <c r="H22" i="5"/>
  <c r="I22" i="5" s="1"/>
  <c r="J22" i="5" s="1"/>
  <c r="K22" i="5" s="1"/>
  <c r="L22" i="5" s="1"/>
  <c r="M22" i="5" s="1"/>
  <c r="N22" i="5" s="1"/>
  <c r="O22" i="5" s="1"/>
  <c r="P22" i="5" s="1"/>
  <c r="Q22" i="5" s="1"/>
  <c r="E22" i="5"/>
  <c r="F22" i="5" s="1"/>
  <c r="G22" i="5" s="1"/>
  <c r="D16" i="5"/>
  <c r="D27" i="5" s="1"/>
  <c r="C16" i="5"/>
  <c r="C27" i="5" s="1"/>
  <c r="C14" i="5"/>
  <c r="D12" i="5"/>
  <c r="C12" i="5"/>
  <c r="C10" i="5"/>
  <c r="C11" i="5" s="1"/>
  <c r="C13" i="5" s="1"/>
  <c r="D9" i="5"/>
  <c r="C9" i="5"/>
  <c r="E4" i="5"/>
  <c r="E44" i="5" s="1"/>
  <c r="E3" i="5"/>
  <c r="E2" i="5"/>
  <c r="E16" i="5" s="1"/>
  <c r="A2" i="5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E4" i="3" l="1"/>
  <c r="F4" i="3" s="1"/>
  <c r="F12" i="3" s="1"/>
  <c r="E27" i="5"/>
  <c r="E17" i="5"/>
  <c r="E21" i="5" s="1"/>
  <c r="C18" i="5"/>
  <c r="C19" i="5" s="1"/>
  <c r="E9" i="5"/>
  <c r="F3" i="5"/>
  <c r="C67" i="5"/>
  <c r="D10" i="5"/>
  <c r="D14" i="5" s="1"/>
  <c r="D11" i="5"/>
  <c r="D13" i="5" s="1"/>
  <c r="D67" i="5"/>
  <c r="C17" i="5"/>
  <c r="C21" i="5" s="1"/>
  <c r="G25" i="5"/>
  <c r="F40" i="5"/>
  <c r="E35" i="5"/>
  <c r="E45" i="5" s="1"/>
  <c r="E46" i="5" s="1"/>
  <c r="E12" i="5"/>
  <c r="D17" i="5"/>
  <c r="D21" i="5" s="1"/>
  <c r="C56" i="5"/>
  <c r="C35" i="5"/>
  <c r="C55" i="5" s="1"/>
  <c r="C54" i="5"/>
  <c r="K67" i="3"/>
  <c r="F26" i="5"/>
  <c r="F2" i="5"/>
  <c r="F4" i="5"/>
  <c r="E26" i="5"/>
  <c r="D55" i="5"/>
  <c r="D35" i="5"/>
  <c r="D54" i="5" s="1"/>
  <c r="H53" i="5"/>
  <c r="F44" i="3"/>
  <c r="F34" i="3"/>
  <c r="K70" i="3"/>
  <c r="K26" i="3"/>
  <c r="C11" i="3"/>
  <c r="C10" i="3"/>
  <c r="C18" i="3"/>
  <c r="C19" i="3" s="1"/>
  <c r="D9" i="3"/>
  <c r="G9" i="3"/>
  <c r="G12" i="3"/>
  <c r="C12" i="3"/>
  <c r="E16" i="3"/>
  <c r="F2" i="3"/>
  <c r="D17" i="3"/>
  <c r="D21" i="3" s="1"/>
  <c r="D27" i="3"/>
  <c r="E70" i="3"/>
  <c r="D67" i="3"/>
  <c r="K44" i="3"/>
  <c r="K35" i="3"/>
  <c r="K55" i="3" s="1"/>
  <c r="F70" i="3"/>
  <c r="G55" i="3"/>
  <c r="G54" i="3"/>
  <c r="G45" i="3"/>
  <c r="E44" i="3"/>
  <c r="E34" i="3"/>
  <c r="E12" i="3"/>
  <c r="J9" i="3"/>
  <c r="J12" i="3"/>
  <c r="E26" i="3"/>
  <c r="J55" i="3"/>
  <c r="F43" i="3"/>
  <c r="G42" i="3"/>
  <c r="D70" i="3"/>
  <c r="H44" i="3"/>
  <c r="H12" i="3"/>
  <c r="C35" i="3"/>
  <c r="D35" i="3" s="1"/>
  <c r="E35" i="3" s="1"/>
  <c r="F35" i="3" s="1"/>
  <c r="H34" i="3"/>
  <c r="H35" i="3"/>
  <c r="F41" i="3"/>
  <c r="G40" i="3"/>
  <c r="D44" i="3"/>
  <c r="I4" i="3"/>
  <c r="I25" i="3"/>
  <c r="D26" i="3"/>
  <c r="H26" i="3"/>
  <c r="D34" i="3"/>
  <c r="J54" i="3"/>
  <c r="J45" i="3"/>
  <c r="F53" i="3"/>
  <c r="C41" i="3"/>
  <c r="C43" i="3"/>
  <c r="C45" i="3" l="1"/>
  <c r="C54" i="3"/>
  <c r="C46" i="3"/>
  <c r="C13" i="3"/>
  <c r="J67" i="3"/>
  <c r="E27" i="3"/>
  <c r="E17" i="3"/>
  <c r="E21" i="3" s="1"/>
  <c r="F67" i="3"/>
  <c r="G70" i="5"/>
  <c r="H25" i="5"/>
  <c r="G26" i="5"/>
  <c r="E54" i="5"/>
  <c r="I70" i="3"/>
  <c r="I26" i="3"/>
  <c r="E56" i="3"/>
  <c r="H55" i="3"/>
  <c r="H54" i="3"/>
  <c r="H45" i="3"/>
  <c r="C56" i="3"/>
  <c r="K9" i="3"/>
  <c r="J10" i="3"/>
  <c r="J14" i="3" s="1"/>
  <c r="E54" i="3"/>
  <c r="E45" i="3"/>
  <c r="E46" i="3" s="1"/>
  <c r="E55" i="3"/>
  <c r="D10" i="3"/>
  <c r="D14" i="3" s="1"/>
  <c r="D11" i="3"/>
  <c r="D13" i="3" s="1"/>
  <c r="D20" i="3" s="1"/>
  <c r="D18" i="3"/>
  <c r="D19" i="3" s="1"/>
  <c r="E9" i="3"/>
  <c r="E56" i="5"/>
  <c r="F54" i="3"/>
  <c r="F45" i="3"/>
  <c r="F46" i="3" s="1"/>
  <c r="F55" i="3"/>
  <c r="I53" i="5"/>
  <c r="D56" i="5"/>
  <c r="F16" i="5"/>
  <c r="G2" i="5"/>
  <c r="C23" i="3"/>
  <c r="C24" i="3" s="1"/>
  <c r="D24" i="5"/>
  <c r="D23" i="5"/>
  <c r="K45" i="3"/>
  <c r="G40" i="5"/>
  <c r="F41" i="5"/>
  <c r="C24" i="5"/>
  <c r="C23" i="5"/>
  <c r="D20" i="5"/>
  <c r="E55" i="5"/>
  <c r="D18" i="5"/>
  <c r="D19" i="5" s="1"/>
  <c r="D23" i="3"/>
  <c r="E23" i="5"/>
  <c r="E24" i="5" s="1"/>
  <c r="F44" i="5"/>
  <c r="F12" i="5"/>
  <c r="F34" i="5"/>
  <c r="F35" i="5" s="1"/>
  <c r="G4" i="5"/>
  <c r="I44" i="3"/>
  <c r="I34" i="3"/>
  <c r="I35" i="3"/>
  <c r="I12" i="3"/>
  <c r="H40" i="3"/>
  <c r="G41" i="3"/>
  <c r="C55" i="3"/>
  <c r="D24" i="3"/>
  <c r="C67" i="3"/>
  <c r="D45" i="5"/>
  <c r="D46" i="5" s="1"/>
  <c r="E67" i="5"/>
  <c r="K54" i="3"/>
  <c r="C45" i="5"/>
  <c r="C46" i="5" s="1"/>
  <c r="F9" i="5"/>
  <c r="G3" i="5"/>
  <c r="E67" i="3"/>
  <c r="G11" i="3"/>
  <c r="G13" i="3" s="1"/>
  <c r="H9" i="3"/>
  <c r="G10" i="3"/>
  <c r="G14" i="3" s="1"/>
  <c r="F56" i="3"/>
  <c r="G53" i="3"/>
  <c r="D55" i="3"/>
  <c r="D56" i="3"/>
  <c r="D54" i="3"/>
  <c r="D45" i="3"/>
  <c r="D46" i="3" s="1"/>
  <c r="H67" i="3"/>
  <c r="H42" i="3"/>
  <c r="G43" i="3"/>
  <c r="F16" i="3"/>
  <c r="G2" i="3"/>
  <c r="G67" i="3"/>
  <c r="C14" i="3"/>
  <c r="E18" i="5"/>
  <c r="E19" i="5" s="1"/>
  <c r="E11" i="5"/>
  <c r="E13" i="5" s="1"/>
  <c r="E20" i="5" s="1"/>
  <c r="E10" i="5"/>
  <c r="E14" i="5" s="1"/>
  <c r="C20" i="5"/>
  <c r="C20" i="3" l="1"/>
  <c r="E28" i="5"/>
  <c r="I54" i="3"/>
  <c r="I45" i="3"/>
  <c r="I55" i="3"/>
  <c r="D28" i="5"/>
  <c r="F10" i="5"/>
  <c r="F14" i="5" s="1"/>
  <c r="D28" i="3"/>
  <c r="H40" i="5"/>
  <c r="G41" i="5"/>
  <c r="C28" i="3"/>
  <c r="J53" i="5"/>
  <c r="H3" i="5"/>
  <c r="G9" i="5"/>
  <c r="F54" i="5"/>
  <c r="F45" i="5"/>
  <c r="F46" i="5" s="1"/>
  <c r="F55" i="5"/>
  <c r="F56" i="5"/>
  <c r="K11" i="3"/>
  <c r="K13" i="3" s="1"/>
  <c r="K10" i="3"/>
  <c r="K14" i="3" s="1"/>
  <c r="H2" i="3"/>
  <c r="G16" i="3"/>
  <c r="I42" i="3"/>
  <c r="H43" i="3"/>
  <c r="H10" i="3"/>
  <c r="H14" i="3" s="1"/>
  <c r="H11" i="3"/>
  <c r="H13" i="3" s="1"/>
  <c r="I9" i="3"/>
  <c r="I67" i="3"/>
  <c r="F67" i="5"/>
  <c r="G16" i="5"/>
  <c r="H2" i="5"/>
  <c r="I40" i="3"/>
  <c r="H41" i="3"/>
  <c r="H46" i="3" s="1"/>
  <c r="F27" i="3"/>
  <c r="F17" i="3"/>
  <c r="F21" i="3" s="1"/>
  <c r="H53" i="3"/>
  <c r="G56" i="3"/>
  <c r="G46" i="3"/>
  <c r="G44" i="5"/>
  <c r="G34" i="5"/>
  <c r="G35" i="5" s="1"/>
  <c r="H4" i="5"/>
  <c r="G12" i="5"/>
  <c r="C28" i="5"/>
  <c r="F27" i="5"/>
  <c r="F17" i="5"/>
  <c r="F21" i="5" s="1"/>
  <c r="E10" i="3"/>
  <c r="E14" i="3" s="1"/>
  <c r="E18" i="3"/>
  <c r="E19" i="3" s="1"/>
  <c r="F9" i="3"/>
  <c r="J11" i="3"/>
  <c r="J13" i="3" s="1"/>
  <c r="H70" i="5"/>
  <c r="I25" i="5"/>
  <c r="H26" i="5"/>
  <c r="I70" i="5" l="1"/>
  <c r="I26" i="5"/>
  <c r="J25" i="5"/>
  <c r="E11" i="3"/>
  <c r="E13" i="3" s="1"/>
  <c r="E20" i="3" s="1"/>
  <c r="E23" i="3"/>
  <c r="E24" i="3" s="1"/>
  <c r="F24" i="5"/>
  <c r="F23" i="5"/>
  <c r="H16" i="5"/>
  <c r="I2" i="5"/>
  <c r="H16" i="3"/>
  <c r="I2" i="3"/>
  <c r="K53" i="5"/>
  <c r="F18" i="5"/>
  <c r="F19" i="5" s="1"/>
  <c r="F18" i="3"/>
  <c r="F19" i="3" s="1"/>
  <c r="F11" i="3"/>
  <c r="F13" i="3" s="1"/>
  <c r="F10" i="3"/>
  <c r="F14" i="3" s="1"/>
  <c r="G67" i="5"/>
  <c r="G27" i="5"/>
  <c r="G17" i="5"/>
  <c r="G21" i="5" s="1"/>
  <c r="G18" i="5"/>
  <c r="G19" i="5" s="1"/>
  <c r="G11" i="5"/>
  <c r="G13" i="5" s="1"/>
  <c r="G20" i="5" s="1"/>
  <c r="G10" i="5"/>
  <c r="G14" i="5" s="1"/>
  <c r="I40" i="5"/>
  <c r="H41" i="5"/>
  <c r="C32" i="5"/>
  <c r="C31" i="5"/>
  <c r="C30" i="5"/>
  <c r="C38" i="5"/>
  <c r="H44" i="5"/>
  <c r="H34" i="5"/>
  <c r="I4" i="5"/>
  <c r="H12" i="5"/>
  <c r="I53" i="3"/>
  <c r="H56" i="3"/>
  <c r="I41" i="3"/>
  <c r="J40" i="3"/>
  <c r="I10" i="3"/>
  <c r="I14" i="3" s="1"/>
  <c r="I43" i="3"/>
  <c r="J42" i="3"/>
  <c r="H9" i="5"/>
  <c r="I3" i="5"/>
  <c r="C32" i="3"/>
  <c r="C31" i="3"/>
  <c r="C30" i="3"/>
  <c r="C38" i="3"/>
  <c r="D38" i="3"/>
  <c r="D30" i="3"/>
  <c r="D32" i="3"/>
  <c r="D31" i="3"/>
  <c r="F11" i="5"/>
  <c r="F13" i="5" s="1"/>
  <c r="F20" i="5" s="1"/>
  <c r="G55" i="5"/>
  <c r="G54" i="5"/>
  <c r="G45" i="5"/>
  <c r="G46" i="5" s="1"/>
  <c r="G56" i="5"/>
  <c r="D32" i="5"/>
  <c r="D31" i="5"/>
  <c r="D30" i="5"/>
  <c r="D38" i="5"/>
  <c r="G17" i="3"/>
  <c r="G27" i="3"/>
  <c r="E32" i="5"/>
  <c r="E31" i="5"/>
  <c r="E38" i="5"/>
  <c r="E30" i="5"/>
  <c r="F20" i="3" l="1"/>
  <c r="J43" i="3"/>
  <c r="K42" i="3"/>
  <c r="K43" i="3" s="1"/>
  <c r="I56" i="3"/>
  <c r="J53" i="3"/>
  <c r="D39" i="3"/>
  <c r="D47" i="3" s="1"/>
  <c r="D51" i="3"/>
  <c r="J41" i="3"/>
  <c r="J46" i="3" s="1"/>
  <c r="K40" i="3"/>
  <c r="K41" i="3" s="1"/>
  <c r="K46" i="3" s="1"/>
  <c r="C51" i="5"/>
  <c r="C39" i="5"/>
  <c r="C47" i="5" s="1"/>
  <c r="H27" i="5"/>
  <c r="H17" i="5"/>
  <c r="H21" i="5" s="1"/>
  <c r="J70" i="5"/>
  <c r="J26" i="5"/>
  <c r="K25" i="5"/>
  <c r="E51" i="5"/>
  <c r="E39" i="5"/>
  <c r="E47" i="5" s="1"/>
  <c r="D51" i="5"/>
  <c r="D39" i="5"/>
  <c r="D47" i="5" s="1"/>
  <c r="C51" i="3"/>
  <c r="C39" i="3"/>
  <c r="C47" i="3" s="1"/>
  <c r="I9" i="5"/>
  <c r="J3" i="5"/>
  <c r="I11" i="3"/>
  <c r="I13" i="3" s="1"/>
  <c r="I46" i="3"/>
  <c r="H67" i="5"/>
  <c r="H35" i="5"/>
  <c r="H55" i="5" s="1"/>
  <c r="I41" i="5"/>
  <c r="J40" i="5"/>
  <c r="F23" i="3"/>
  <c r="F24" i="3" s="1"/>
  <c r="G23" i="5"/>
  <c r="G24" i="5" s="1"/>
  <c r="I16" i="3"/>
  <c r="J2" i="3"/>
  <c r="H18" i="5"/>
  <c r="H19" i="5" s="1"/>
  <c r="H11" i="5"/>
  <c r="H13" i="5" s="1"/>
  <c r="H20" i="5" s="1"/>
  <c r="H10" i="5"/>
  <c r="H14" i="5" s="1"/>
  <c r="H17" i="3"/>
  <c r="H27" i="3"/>
  <c r="F28" i="5"/>
  <c r="G21" i="3"/>
  <c r="G18" i="3"/>
  <c r="G19" i="3" s="1"/>
  <c r="G20" i="3"/>
  <c r="I44" i="5"/>
  <c r="J4" i="5"/>
  <c r="I34" i="5"/>
  <c r="I12" i="5"/>
  <c r="I35" i="5"/>
  <c r="L53" i="5"/>
  <c r="I16" i="5"/>
  <c r="J2" i="5"/>
  <c r="E28" i="3"/>
  <c r="G28" i="5" l="1"/>
  <c r="I27" i="5"/>
  <c r="I17" i="5"/>
  <c r="I21" i="5" s="1"/>
  <c r="J44" i="5"/>
  <c r="J12" i="5"/>
  <c r="J34" i="5"/>
  <c r="K4" i="5"/>
  <c r="H21" i="3"/>
  <c r="H18" i="3"/>
  <c r="H19" i="3" s="1"/>
  <c r="H20" i="3"/>
  <c r="J16" i="3"/>
  <c r="K2" i="3"/>
  <c r="K16" i="3" s="1"/>
  <c r="F28" i="3"/>
  <c r="H56" i="5"/>
  <c r="J56" i="3"/>
  <c r="K53" i="3"/>
  <c r="K56" i="3" s="1"/>
  <c r="K2" i="5"/>
  <c r="J16" i="5"/>
  <c r="I67" i="5"/>
  <c r="E38" i="3"/>
  <c r="E30" i="3"/>
  <c r="E32" i="3"/>
  <c r="E31" i="3"/>
  <c r="M53" i="5"/>
  <c r="F38" i="5"/>
  <c r="F30" i="5"/>
  <c r="F31" i="5"/>
  <c r="F32" i="5"/>
  <c r="I27" i="3"/>
  <c r="I17" i="3"/>
  <c r="I20" i="3" s="1"/>
  <c r="K40" i="5"/>
  <c r="J41" i="5"/>
  <c r="J9" i="5"/>
  <c r="K3" i="5"/>
  <c r="D69" i="5"/>
  <c r="D82" i="5"/>
  <c r="D50" i="5"/>
  <c r="D49" i="5"/>
  <c r="D52" i="5" s="1"/>
  <c r="H45" i="5"/>
  <c r="H46" i="5" s="1"/>
  <c r="I18" i="5"/>
  <c r="I19" i="5" s="1"/>
  <c r="I11" i="5"/>
  <c r="I13" i="5" s="1"/>
  <c r="I20" i="5" s="1"/>
  <c r="I10" i="5"/>
  <c r="I14" i="5" s="1"/>
  <c r="K70" i="5"/>
  <c r="L25" i="5"/>
  <c r="K26" i="5"/>
  <c r="C69" i="5"/>
  <c r="C50" i="5"/>
  <c r="H54" i="5"/>
  <c r="I55" i="5"/>
  <c r="I54" i="5"/>
  <c r="I45" i="5"/>
  <c r="I46" i="5" s="1"/>
  <c r="I56" i="5"/>
  <c r="C69" i="3"/>
  <c r="C50" i="3"/>
  <c r="E69" i="5"/>
  <c r="E50" i="5"/>
  <c r="E49" i="5"/>
  <c r="G23" i="3"/>
  <c r="G24" i="3" s="1"/>
  <c r="H23" i="5"/>
  <c r="H24" i="5"/>
  <c r="D69" i="3"/>
  <c r="D50" i="3"/>
  <c r="D49" i="3" s="1"/>
  <c r="G28" i="3" l="1"/>
  <c r="C61" i="5"/>
  <c r="C64" i="5" s="1"/>
  <c r="C60" i="5"/>
  <c r="L70" i="5"/>
  <c r="M25" i="5"/>
  <c r="L26" i="5"/>
  <c r="J11" i="5"/>
  <c r="J13" i="5" s="1"/>
  <c r="J10" i="5"/>
  <c r="J14" i="5" s="1"/>
  <c r="F51" i="5"/>
  <c r="F39" i="5"/>
  <c r="F47" i="5" s="1"/>
  <c r="K16" i="5"/>
  <c r="L2" i="5"/>
  <c r="J27" i="3"/>
  <c r="J17" i="3"/>
  <c r="J67" i="5"/>
  <c r="H23" i="3"/>
  <c r="I24" i="5"/>
  <c r="I23" i="5"/>
  <c r="E59" i="5"/>
  <c r="E63" i="5" s="1"/>
  <c r="E58" i="5"/>
  <c r="D59" i="3"/>
  <c r="D63" i="3" s="1"/>
  <c r="D58" i="3"/>
  <c r="H28" i="5"/>
  <c r="F38" i="3"/>
  <c r="F30" i="3"/>
  <c r="F32" i="3"/>
  <c r="F31" i="3"/>
  <c r="K44" i="5"/>
  <c r="K35" i="5"/>
  <c r="K34" i="5"/>
  <c r="L4" i="5"/>
  <c r="K12" i="5"/>
  <c r="C60" i="3"/>
  <c r="C61" i="3"/>
  <c r="C64" i="3" s="1"/>
  <c r="C49" i="3"/>
  <c r="E52" i="5"/>
  <c r="D59" i="5"/>
  <c r="D63" i="5" s="1"/>
  <c r="D58" i="5"/>
  <c r="L40" i="5"/>
  <c r="K41" i="5"/>
  <c r="N53" i="5"/>
  <c r="G38" i="5"/>
  <c r="G30" i="5"/>
  <c r="G31" i="5"/>
  <c r="G32" i="5"/>
  <c r="E61" i="5"/>
  <c r="E64" i="5" s="1"/>
  <c r="E60" i="5"/>
  <c r="D61" i="3"/>
  <c r="D64" i="3" s="1"/>
  <c r="D60" i="3"/>
  <c r="D52" i="3"/>
  <c r="C49" i="5"/>
  <c r="D61" i="5"/>
  <c r="D64" i="5" s="1"/>
  <c r="D60" i="5"/>
  <c r="L3" i="5"/>
  <c r="K9" i="5"/>
  <c r="I21" i="3"/>
  <c r="I18" i="3"/>
  <c r="I19" i="3" s="1"/>
  <c r="E51" i="3"/>
  <c r="E39" i="3"/>
  <c r="E47" i="3" s="1"/>
  <c r="J27" i="5"/>
  <c r="J17" i="5"/>
  <c r="J21" i="5" s="1"/>
  <c r="K17" i="3"/>
  <c r="K27" i="3"/>
  <c r="H24" i="3"/>
  <c r="J35" i="5"/>
  <c r="J56" i="5" s="1"/>
  <c r="H28" i="3" l="1"/>
  <c r="J55" i="5"/>
  <c r="D65" i="5"/>
  <c r="D65" i="3"/>
  <c r="I28" i="5"/>
  <c r="K27" i="5"/>
  <c r="K17" i="5"/>
  <c r="K21" i="5" s="1"/>
  <c r="M70" i="5"/>
  <c r="M26" i="5"/>
  <c r="N25" i="5"/>
  <c r="E50" i="3"/>
  <c r="E69" i="3"/>
  <c r="K18" i="5"/>
  <c r="K19" i="5" s="1"/>
  <c r="K10" i="5"/>
  <c r="K14" i="5" s="1"/>
  <c r="C59" i="5"/>
  <c r="C63" i="5" s="1"/>
  <c r="C65" i="5" s="1"/>
  <c r="C58" i="5"/>
  <c r="C52" i="5"/>
  <c r="J45" i="5"/>
  <c r="J46" i="5" s="1"/>
  <c r="K67" i="5"/>
  <c r="H30" i="5"/>
  <c r="H38" i="5"/>
  <c r="H32" i="5"/>
  <c r="H31" i="5"/>
  <c r="J21" i="3"/>
  <c r="J18" i="3"/>
  <c r="J19" i="3" s="1"/>
  <c r="J20" i="3"/>
  <c r="F69" i="5"/>
  <c r="F52" i="5"/>
  <c r="F50" i="5"/>
  <c r="F49" i="5"/>
  <c r="J20" i="5"/>
  <c r="G51" i="5"/>
  <c r="G39" i="5"/>
  <c r="G47" i="5" s="1"/>
  <c r="J54" i="5"/>
  <c r="M40" i="5"/>
  <c r="L41" i="5"/>
  <c r="C58" i="3"/>
  <c r="C59" i="3"/>
  <c r="C63" i="3" s="1"/>
  <c r="C65" i="3" s="1"/>
  <c r="C52" i="3"/>
  <c r="L44" i="5"/>
  <c r="L34" i="5"/>
  <c r="L35" i="5" s="1"/>
  <c r="M4" i="5"/>
  <c r="L12" i="5"/>
  <c r="E65" i="5"/>
  <c r="G31" i="3"/>
  <c r="G38" i="3"/>
  <c r="G32" i="3"/>
  <c r="G30" i="3"/>
  <c r="K21" i="3"/>
  <c r="K18" i="3"/>
  <c r="K19" i="3" s="1"/>
  <c r="K20" i="3"/>
  <c r="L9" i="5"/>
  <c r="M3" i="5"/>
  <c r="I23" i="3"/>
  <c r="I24" i="3" s="1"/>
  <c r="J23" i="5"/>
  <c r="J24" i="5" s="1"/>
  <c r="O53" i="5"/>
  <c r="K55" i="5"/>
  <c r="K45" i="5"/>
  <c r="K46" i="5" s="1"/>
  <c r="K54" i="5"/>
  <c r="K56" i="5"/>
  <c r="F51" i="3"/>
  <c r="F39" i="3"/>
  <c r="F47" i="3" s="1"/>
  <c r="M2" i="5"/>
  <c r="L16" i="5"/>
  <c r="J18" i="5"/>
  <c r="J19" i="5" s="1"/>
  <c r="I28" i="3" l="1"/>
  <c r="J28" i="5"/>
  <c r="M41" i="5"/>
  <c r="N40" i="5"/>
  <c r="L27" i="5"/>
  <c r="L17" i="5"/>
  <c r="L21" i="5" s="1"/>
  <c r="L67" i="5"/>
  <c r="F59" i="5"/>
  <c r="F63" i="5" s="1"/>
  <c r="F58" i="5"/>
  <c r="I30" i="5"/>
  <c r="I38" i="5"/>
  <c r="I32" i="5"/>
  <c r="I31" i="5"/>
  <c r="L18" i="5"/>
  <c r="L19" i="5" s="1"/>
  <c r="L10" i="5"/>
  <c r="L14" i="5" s="1"/>
  <c r="P53" i="5"/>
  <c r="G51" i="3"/>
  <c r="G39" i="3"/>
  <c r="G47" i="3" s="1"/>
  <c r="M16" i="5"/>
  <c r="N2" i="5"/>
  <c r="M9" i="5"/>
  <c r="N3" i="5"/>
  <c r="M44" i="5"/>
  <c r="N4" i="5"/>
  <c r="M12" i="5"/>
  <c r="M34" i="5"/>
  <c r="M35" i="5" s="1"/>
  <c r="G69" i="5"/>
  <c r="G50" i="5"/>
  <c r="G49" i="5" s="1"/>
  <c r="F61" i="5"/>
  <c r="F64" i="5" s="1"/>
  <c r="F60" i="5"/>
  <c r="K11" i="5"/>
  <c r="K13" i="5" s="1"/>
  <c r="K20" i="5" s="1"/>
  <c r="L55" i="5"/>
  <c r="L54" i="5"/>
  <c r="L45" i="5"/>
  <c r="L46" i="5" s="1"/>
  <c r="L56" i="5"/>
  <c r="H39" i="5"/>
  <c r="H47" i="5" s="1"/>
  <c r="H51" i="5"/>
  <c r="E61" i="3"/>
  <c r="E64" i="3" s="1"/>
  <c r="E60" i="3"/>
  <c r="N70" i="5"/>
  <c r="O25" i="5"/>
  <c r="N26" i="5"/>
  <c r="J23" i="3"/>
  <c r="K23" i="5"/>
  <c r="K24" i="5" s="1"/>
  <c r="H38" i="3"/>
  <c r="H30" i="3"/>
  <c r="H31" i="3"/>
  <c r="H32" i="3"/>
  <c r="F50" i="3"/>
  <c r="F49" i="3" s="1"/>
  <c r="F69" i="3"/>
  <c r="J24" i="3"/>
  <c r="E49" i="3"/>
  <c r="G59" i="5" l="1"/>
  <c r="G63" i="5" s="1"/>
  <c r="G58" i="5"/>
  <c r="G52" i="5"/>
  <c r="K28" i="5"/>
  <c r="M10" i="5"/>
  <c r="M14" i="5" s="1"/>
  <c r="L11" i="5"/>
  <c r="L13" i="5" s="1"/>
  <c r="L20" i="5" s="1"/>
  <c r="I51" i="5"/>
  <c r="I39" i="5"/>
  <c r="I47" i="5" s="1"/>
  <c r="K23" i="3"/>
  <c r="K24" i="3" s="1"/>
  <c r="L23" i="5"/>
  <c r="L24" i="5" s="1"/>
  <c r="J38" i="5"/>
  <c r="J30" i="5"/>
  <c r="J31" i="5"/>
  <c r="J32" i="5"/>
  <c r="F58" i="3"/>
  <c r="F59" i="3"/>
  <c r="F63" i="3" s="1"/>
  <c r="F60" i="3"/>
  <c r="F61" i="3"/>
  <c r="F64" i="3" s="1"/>
  <c r="O70" i="5"/>
  <c r="P25" i="5"/>
  <c r="O26" i="5"/>
  <c r="H69" i="5"/>
  <c r="H50" i="5"/>
  <c r="H49" i="5"/>
  <c r="O2" i="5"/>
  <c r="N16" i="5"/>
  <c r="Q53" i="5"/>
  <c r="H51" i="3"/>
  <c r="H39" i="3"/>
  <c r="H47" i="3" s="1"/>
  <c r="E59" i="3"/>
  <c r="E63" i="3" s="1"/>
  <c r="E65" i="3" s="1"/>
  <c r="E58" i="3"/>
  <c r="E52" i="3"/>
  <c r="F52" i="3"/>
  <c r="M67" i="5"/>
  <c r="M27" i="5"/>
  <c r="M17" i="5"/>
  <c r="M21" i="5" s="1"/>
  <c r="O40" i="5"/>
  <c r="N41" i="5"/>
  <c r="I38" i="3"/>
  <c r="I30" i="3"/>
  <c r="I32" i="3"/>
  <c r="I31" i="3"/>
  <c r="J28" i="3"/>
  <c r="G61" i="5"/>
  <c r="G64" i="5" s="1"/>
  <c r="G60" i="5"/>
  <c r="M55" i="5"/>
  <c r="M54" i="5"/>
  <c r="M45" i="5"/>
  <c r="M56" i="5"/>
  <c r="N44" i="5"/>
  <c r="N12" i="5"/>
  <c r="N34" i="5"/>
  <c r="O4" i="5"/>
  <c r="N9" i="5"/>
  <c r="O3" i="5"/>
  <c r="G49" i="3"/>
  <c r="G69" i="3"/>
  <c r="G50" i="3"/>
  <c r="G52" i="3"/>
  <c r="F65" i="5"/>
  <c r="M46" i="5"/>
  <c r="L28" i="5" l="1"/>
  <c r="G58" i="3"/>
  <c r="G59" i="3"/>
  <c r="G63" i="3" s="1"/>
  <c r="N55" i="5"/>
  <c r="N45" i="5"/>
  <c r="J38" i="3"/>
  <c r="J31" i="3"/>
  <c r="J32" i="3"/>
  <c r="J30" i="3"/>
  <c r="M23" i="5"/>
  <c r="M24" i="5" s="1"/>
  <c r="H59" i="5"/>
  <c r="H63" i="5" s="1"/>
  <c r="H58" i="5"/>
  <c r="F65" i="3"/>
  <c r="K28" i="3"/>
  <c r="G60" i="3"/>
  <c r="G61" i="3"/>
  <c r="G64" i="3" s="1"/>
  <c r="P3" i="5"/>
  <c r="O9" i="5"/>
  <c r="N35" i="5"/>
  <c r="N54" i="5" s="1"/>
  <c r="I51" i="3"/>
  <c r="I39" i="3"/>
  <c r="I47" i="3" s="1"/>
  <c r="H69" i="3"/>
  <c r="H50" i="3"/>
  <c r="N27" i="5"/>
  <c r="N17" i="5"/>
  <c r="N21" i="5" s="1"/>
  <c r="H61" i="5"/>
  <c r="H64" i="5" s="1"/>
  <c r="H60" i="5"/>
  <c r="J51" i="5"/>
  <c r="J39" i="5"/>
  <c r="J47" i="5" s="1"/>
  <c r="I69" i="5"/>
  <c r="I50" i="5"/>
  <c r="I49" i="5"/>
  <c r="M11" i="5"/>
  <c r="M13" i="5" s="1"/>
  <c r="M20" i="5" s="1"/>
  <c r="N10" i="5"/>
  <c r="N14" i="5" s="1"/>
  <c r="N18" i="5"/>
  <c r="N19" i="5" s="1"/>
  <c r="N67" i="5"/>
  <c r="N46" i="5"/>
  <c r="O16" i="5"/>
  <c r="P2" i="5"/>
  <c r="H52" i="5"/>
  <c r="P70" i="5"/>
  <c r="Q25" i="5"/>
  <c r="P26" i="5"/>
  <c r="M18" i="5"/>
  <c r="M19" i="5" s="1"/>
  <c r="O35" i="5"/>
  <c r="O34" i="5"/>
  <c r="O44" i="5"/>
  <c r="P4" i="5"/>
  <c r="O12" i="5"/>
  <c r="P40" i="5"/>
  <c r="O41" i="5"/>
  <c r="K38" i="5"/>
  <c r="K30" i="5"/>
  <c r="K32" i="5"/>
  <c r="K31" i="5"/>
  <c r="G65" i="5"/>
  <c r="M28" i="5" l="1"/>
  <c r="I59" i="5"/>
  <c r="I63" i="5" s="1"/>
  <c r="I58" i="5"/>
  <c r="Q70" i="5"/>
  <c r="Q26" i="5"/>
  <c r="I61" i="5"/>
  <c r="I64" i="5" s="1"/>
  <c r="I60" i="5"/>
  <c r="H61" i="3"/>
  <c r="H64" i="3" s="1"/>
  <c r="H60" i="3"/>
  <c r="K51" i="5"/>
  <c r="K39" i="5"/>
  <c r="K47" i="5" s="1"/>
  <c r="O55" i="5"/>
  <c r="O54" i="5"/>
  <c r="O45" i="5"/>
  <c r="O56" i="5"/>
  <c r="P16" i="5"/>
  <c r="Q2" i="5"/>
  <c r="Q16" i="5" s="1"/>
  <c r="N11" i="5"/>
  <c r="N13" i="5" s="1"/>
  <c r="N20" i="5" s="1"/>
  <c r="I52" i="5"/>
  <c r="N56" i="5"/>
  <c r="G65" i="3"/>
  <c r="P44" i="5"/>
  <c r="P35" i="5"/>
  <c r="P34" i="5"/>
  <c r="Q4" i="5"/>
  <c r="P12" i="5"/>
  <c r="O67" i="5"/>
  <c r="O27" i="5"/>
  <c r="O17" i="5"/>
  <c r="O21" i="5" s="1"/>
  <c r="O18" i="5"/>
  <c r="O19" i="5" s="1"/>
  <c r="O10" i="5"/>
  <c r="O14" i="5" s="1"/>
  <c r="K38" i="3"/>
  <c r="K30" i="3"/>
  <c r="K32" i="3"/>
  <c r="K31" i="3"/>
  <c r="H65" i="5"/>
  <c r="H49" i="3"/>
  <c r="I50" i="3"/>
  <c r="I69" i="3"/>
  <c r="P9" i="5"/>
  <c r="Q3" i="5"/>
  <c r="Q9" i="5" s="1"/>
  <c r="L38" i="5"/>
  <c r="L30" i="5"/>
  <c r="L32" i="5"/>
  <c r="L31" i="5"/>
  <c r="O46" i="5"/>
  <c r="Q40" i="5"/>
  <c r="Q41" i="5" s="1"/>
  <c r="P41" i="5"/>
  <c r="J69" i="5"/>
  <c r="J50" i="5"/>
  <c r="N24" i="5"/>
  <c r="N23" i="5"/>
  <c r="J51" i="3"/>
  <c r="J39" i="3"/>
  <c r="J47" i="3" s="1"/>
  <c r="J61" i="5" l="1"/>
  <c r="J64" i="5" s="1"/>
  <c r="J60" i="5"/>
  <c r="P11" i="5"/>
  <c r="P13" i="5" s="1"/>
  <c r="P10" i="5"/>
  <c r="P14" i="5" s="1"/>
  <c r="I61" i="3"/>
  <c r="I64" i="3" s="1"/>
  <c r="I60" i="3"/>
  <c r="P67" i="5"/>
  <c r="P27" i="5"/>
  <c r="P17" i="5"/>
  <c r="P21" i="5" s="1"/>
  <c r="I49" i="3"/>
  <c r="O11" i="5"/>
  <c r="O13" i="5" s="1"/>
  <c r="O20" i="5" s="1"/>
  <c r="K69" i="5"/>
  <c r="K50" i="5"/>
  <c r="I65" i="5"/>
  <c r="L51" i="5"/>
  <c r="L39" i="5"/>
  <c r="L47" i="5" s="1"/>
  <c r="H59" i="3"/>
  <c r="H63" i="3" s="1"/>
  <c r="H65" i="3" s="1"/>
  <c r="H58" i="3"/>
  <c r="H52" i="3"/>
  <c r="Q44" i="5"/>
  <c r="Q35" i="5"/>
  <c r="Q34" i="5"/>
  <c r="Q12" i="5"/>
  <c r="M30" i="5"/>
  <c r="M38" i="5"/>
  <c r="M32" i="5"/>
  <c r="M31" i="5"/>
  <c r="N33" i="5"/>
  <c r="N28" i="5"/>
  <c r="J49" i="3"/>
  <c r="J50" i="3"/>
  <c r="J69" i="3"/>
  <c r="J49" i="5"/>
  <c r="Q10" i="5"/>
  <c r="Q11" i="5" s="1"/>
  <c r="Q13" i="5" s="1"/>
  <c r="K39" i="3"/>
  <c r="K47" i="3" s="1"/>
  <c r="K51" i="3"/>
  <c r="O23" i="5"/>
  <c r="O24" i="5" s="1"/>
  <c r="P55" i="5"/>
  <c r="P54" i="5"/>
  <c r="P45" i="5"/>
  <c r="P46" i="5" s="1"/>
  <c r="P56" i="5"/>
  <c r="Q27" i="5"/>
  <c r="Q17" i="5"/>
  <c r="Q21" i="5" s="1"/>
  <c r="O33" i="5" l="1"/>
  <c r="O28" i="5"/>
  <c r="J59" i="5"/>
  <c r="J63" i="5" s="1"/>
  <c r="J65" i="5" s="1"/>
  <c r="J58" i="5"/>
  <c r="J52" i="5"/>
  <c r="K61" i="5"/>
  <c r="K64" i="5" s="1"/>
  <c r="K60" i="5"/>
  <c r="J60" i="3"/>
  <c r="J61" i="3"/>
  <c r="J64" i="3" s="1"/>
  <c r="N38" i="5"/>
  <c r="N30" i="5"/>
  <c r="N31" i="5"/>
  <c r="N32" i="5"/>
  <c r="M51" i="5"/>
  <c r="M39" i="5"/>
  <c r="M47" i="5" s="1"/>
  <c r="Q55" i="5"/>
  <c r="Q54" i="5"/>
  <c r="Q45" i="5"/>
  <c r="Q46" i="5" s="1"/>
  <c r="Q56" i="5"/>
  <c r="P18" i="5"/>
  <c r="P19" i="5" s="1"/>
  <c r="K69" i="3"/>
  <c r="K50" i="3"/>
  <c r="J58" i="3"/>
  <c r="J59" i="3"/>
  <c r="J63" i="3" s="1"/>
  <c r="J65" i="3" s="1"/>
  <c r="Q14" i="5"/>
  <c r="Q20" i="5" s="1"/>
  <c r="Q23" i="5"/>
  <c r="Q24" i="5" s="1"/>
  <c r="Q18" i="5"/>
  <c r="Q19" i="5" s="1"/>
  <c r="J52" i="3"/>
  <c r="I59" i="3"/>
  <c r="I63" i="3" s="1"/>
  <c r="I65" i="3" s="1"/>
  <c r="I58" i="3"/>
  <c r="I52" i="3"/>
  <c r="Q67" i="5"/>
  <c r="K49" i="5"/>
  <c r="L69" i="5"/>
  <c r="L50" i="5"/>
  <c r="P23" i="5"/>
  <c r="P24" i="5" s="1"/>
  <c r="P20" i="5"/>
  <c r="P33" i="5" l="1"/>
  <c r="P28" i="5"/>
  <c r="Q33" i="5"/>
  <c r="Q28" i="5"/>
  <c r="N51" i="5"/>
  <c r="N39" i="5"/>
  <c r="N47" i="5" s="1"/>
  <c r="O38" i="5"/>
  <c r="O30" i="5"/>
  <c r="O31" i="5"/>
  <c r="O32" i="5"/>
  <c r="L61" i="5"/>
  <c r="L64" i="5" s="1"/>
  <c r="L60" i="5"/>
  <c r="K60" i="3"/>
  <c r="K61" i="3"/>
  <c r="K64" i="3" s="1"/>
  <c r="K49" i="3"/>
  <c r="L49" i="5"/>
  <c r="K59" i="5"/>
  <c r="K63" i="5" s="1"/>
  <c r="K65" i="5" s="1"/>
  <c r="K58" i="5"/>
  <c r="K52" i="5"/>
  <c r="M69" i="5"/>
  <c r="M50" i="5"/>
  <c r="M49" i="5" s="1"/>
  <c r="M59" i="5" l="1"/>
  <c r="M63" i="5" s="1"/>
  <c r="M58" i="5"/>
  <c r="M52" i="5"/>
  <c r="L59" i="5"/>
  <c r="L63" i="5" s="1"/>
  <c r="L65" i="5" s="1"/>
  <c r="L58" i="5"/>
  <c r="L52" i="5"/>
  <c r="Q38" i="5"/>
  <c r="Q30" i="5"/>
  <c r="Q31" i="5"/>
  <c r="Q32" i="5"/>
  <c r="M61" i="5"/>
  <c r="M64" i="5" s="1"/>
  <c r="M60" i="5"/>
  <c r="K58" i="3"/>
  <c r="K59" i="3"/>
  <c r="K63" i="3" s="1"/>
  <c r="K65" i="3" s="1"/>
  <c r="K52" i="3"/>
  <c r="O39" i="5"/>
  <c r="O47" i="5" s="1"/>
  <c r="O51" i="5"/>
  <c r="N50" i="5"/>
  <c r="N49" i="5"/>
  <c r="N52" i="5" s="1"/>
  <c r="N69" i="5"/>
  <c r="P30" i="5"/>
  <c r="P38" i="5"/>
  <c r="P32" i="5"/>
  <c r="P31" i="5"/>
  <c r="O69" i="5" l="1"/>
  <c r="O50" i="5"/>
  <c r="P51" i="5"/>
  <c r="P39" i="5"/>
  <c r="P47" i="5" s="1"/>
  <c r="N61" i="5"/>
  <c r="N64" i="5" s="1"/>
  <c r="N60" i="5"/>
  <c r="Q51" i="5"/>
  <c r="Q39" i="5"/>
  <c r="Q47" i="5" s="1"/>
  <c r="N59" i="5"/>
  <c r="N63" i="5" s="1"/>
  <c r="N65" i="5" s="1"/>
  <c r="N58" i="5"/>
  <c r="M65" i="5"/>
  <c r="O61" i="5" l="1"/>
  <c r="O64" i="5" s="1"/>
  <c r="O60" i="5"/>
  <c r="Q69" i="5"/>
  <c r="Q49" i="5"/>
  <c r="Q50" i="5"/>
  <c r="P69" i="5"/>
  <c r="P50" i="5"/>
  <c r="O49" i="5"/>
  <c r="P61" i="5" l="1"/>
  <c r="P64" i="5" s="1"/>
  <c r="P60" i="5"/>
  <c r="P49" i="5"/>
  <c r="Q61" i="5"/>
  <c r="Q64" i="5" s="1"/>
  <c r="Q60" i="5"/>
  <c r="Q58" i="5"/>
  <c r="Q59" i="5"/>
  <c r="Q63" i="5" s="1"/>
  <c r="O59" i="5"/>
  <c r="O63" i="5" s="1"/>
  <c r="O65" i="5" s="1"/>
  <c r="O58" i="5"/>
  <c r="O52" i="5"/>
  <c r="Q52" i="5"/>
  <c r="Q65" i="5" l="1"/>
  <c r="P59" i="5"/>
  <c r="P63" i="5" s="1"/>
  <c r="P65" i="5" s="1"/>
  <c r="P58" i="5"/>
  <c r="P52" i="5"/>
</calcChain>
</file>

<file path=xl/sharedStrings.xml><?xml version="1.0" encoding="utf-8"?>
<sst xmlns="http://schemas.openxmlformats.org/spreadsheetml/2006/main" count="378" uniqueCount="124">
  <si>
    <t>Sampling Factor</t>
  </si>
  <si>
    <t>TTG+RTG Gap in microsec</t>
  </si>
  <si>
    <t>TR-Gap Symbols for 40 mi range</t>
  </si>
  <si>
    <t>Permutation</t>
  </si>
  <si>
    <t>DC Subcarriers</t>
  </si>
  <si>
    <t>Guard Subcarriers - Left</t>
  </si>
  <si>
    <t>Guard Subcarriers - Right</t>
  </si>
  <si>
    <t>Used Subcarriers (DC+Pilots+Data)</t>
  </si>
  <si>
    <t>Pilot Subcarriers</t>
  </si>
  <si>
    <t>Data Subcarriers</t>
  </si>
  <si>
    <t>Data Subcarriers per Subchannel</t>
  </si>
  <si>
    <t>Pilot Subcarriers per Subchannel</t>
  </si>
  <si>
    <t>Subcarrier Spacing</t>
  </si>
  <si>
    <t>28/25</t>
  </si>
  <si>
    <t>FFT</t>
  </si>
  <si>
    <t>AMC 2x3</t>
  </si>
  <si>
    <t>Subgroup 3</t>
  </si>
  <si>
    <t>Subgroup 2</t>
  </si>
  <si>
    <t>Subgroup 1</t>
  </si>
  <si>
    <t>Subgroup 4</t>
  </si>
  <si>
    <t>11/5</t>
  </si>
  <si>
    <t>82/25</t>
  </si>
  <si>
    <t>109/25</t>
  </si>
  <si>
    <t>Sampling Frequency (Clock)</t>
  </si>
  <si>
    <t>Used Subcarriers (Pilots+Data)</t>
  </si>
  <si>
    <t>Occupied BW (incl DC Subcarrier)</t>
  </si>
  <si>
    <t>Occupied BW % of Nominal BW</t>
  </si>
  <si>
    <t>Symbol Time-microsec</t>
  </si>
  <si>
    <t>Cyclic Prefix</t>
  </si>
  <si>
    <t>1/8</t>
  </si>
  <si>
    <t>1/16</t>
  </si>
  <si>
    <t>1/32</t>
  </si>
  <si>
    <t>Guard Time-microsec</t>
  </si>
  <si>
    <t>Symbol Duration-microsec</t>
  </si>
  <si>
    <t>Samples per Frame</t>
  </si>
  <si>
    <t>Frames per Second</t>
  </si>
  <si>
    <t>Symbols for TR Gap</t>
  </si>
  <si>
    <t>Subchannel BW (excludes DC SC)</t>
  </si>
  <si>
    <t>Range Limit for selected TR-Gap</t>
  </si>
  <si>
    <t>For subgroup 4 channels</t>
  </si>
  <si>
    <t>For subgroup 3 channels</t>
  </si>
  <si>
    <t>For subgroup 2 channels</t>
  </si>
  <si>
    <t>For subgroup 1 channels</t>
  </si>
  <si>
    <t>Sampling Factors</t>
  </si>
  <si>
    <t>Cyclic prefix</t>
  </si>
  <si>
    <t>N = # Bins</t>
  </si>
  <si>
    <t>M = # Symbols</t>
  </si>
  <si>
    <t>Frame Control Header (FCH)</t>
  </si>
  <si>
    <t>Preamble Overhead</t>
  </si>
  <si>
    <t>DL-MAP (bits)</t>
  </si>
  <si>
    <t>UL-MAP (bits</t>
  </si>
  <si>
    <t>UL-MAP (Bytes)</t>
  </si>
  <si>
    <t>DL-MAP (Bytes)</t>
  </si>
  <si>
    <t>Bytes per Slot at QPSK-1/2 (1 rep)</t>
  </si>
  <si>
    <t>Total # Slots for DL-MAP+UL-MAP+FCH</t>
  </si>
  <si>
    <t>Slots per Sector/Frame for Reuse 3</t>
  </si>
  <si>
    <t>Notes</t>
  </si>
  <si>
    <t>Total # OH Slots for DL-MAP+UL-MAP+FCH</t>
  </si>
  <si>
    <t xml:space="preserve">Ref: 16-16-0060-00-000s-calculator-mac-layer-overhead-reduction-schemes </t>
  </si>
  <si>
    <t>AMC 1x3</t>
  </si>
  <si>
    <t>UL+DL Data Slots/Sector for scheduling</t>
  </si>
  <si>
    <t>UL Data Slots/Sector for scheduling</t>
  </si>
  <si>
    <t>DL Data Slots/Sector for scheduling</t>
  </si>
  <si>
    <t>Unused Symbols</t>
  </si>
  <si>
    <t>Avg SE over Coverage Area</t>
  </si>
  <si>
    <t>Peak Bytes/Slot (64QAM-5/6)</t>
  </si>
  <si>
    <t>Cell Edge Bytes/Slot (QPSK-1/2)</t>
  </si>
  <si>
    <t>Avg Bytes/Slot</t>
  </si>
  <si>
    <t>Avg UL PHY Rate per Sector</t>
  </si>
  <si>
    <t>Avg DL PHY Rate per Sector</t>
  </si>
  <si>
    <t>Ref: 16-16-0037-02-000s</t>
  </si>
  <si>
    <t>Avg UL PHY Rate per Cell</t>
  </si>
  <si>
    <t>Avg DL PHY Rate per Cell</t>
  </si>
  <si>
    <t>Avg Cell Spectral Efficiency</t>
  </si>
  <si>
    <t>Actual UL/DL Data Slot Ratio</t>
  </si>
  <si>
    <t>Desired UL/DL Data Ratio</t>
  </si>
  <si>
    <t>Slots per Sector/Frame for Reuse 1,3,3</t>
  </si>
  <si>
    <t>Number of Inband Subchannels</t>
  </si>
  <si>
    <t>Ref: 802.16-2012</t>
  </si>
  <si>
    <t>OFDMA Symbols per Frame (after TR Gap)</t>
  </si>
  <si>
    <t>When number of in-band Subchannels is not divisable by 3</t>
  </si>
  <si>
    <t>Assumes 2 frames for UGS traffic</t>
  </si>
  <si>
    <t>Increased Latency Relative to 5 ms Frame</t>
  </si>
  <si>
    <t>Total OFDMA Symbols per Frame</t>
  </si>
  <si>
    <t>Net OFDMA Symbols per Frame</t>
  </si>
  <si>
    <t>UL OH Symbols (CQICH*, ACK*,Ranging)</t>
  </si>
  <si>
    <t>AMC 1x6</t>
  </si>
  <si>
    <t>*CQICH &amp; ACK are optional</t>
  </si>
  <si>
    <t>Maximum UL:DL or DL:UL Data Slot Ratio</t>
  </si>
  <si>
    <t>Parameter</t>
  </si>
  <si>
    <t>Nominal Channel BW</t>
  </si>
  <si>
    <t>Relative to Nominal Channel BW</t>
  </si>
  <si>
    <t>Cyclic Prefix (CP)</t>
  </si>
  <si>
    <t>Band AMC</t>
  </si>
  <si>
    <t>UL+DL Data Slots</t>
  </si>
  <si>
    <t>n/a</t>
  </si>
  <si>
    <t>Max DL/UL or UL/DL Data Rate</t>
  </si>
  <si>
    <t>Frame Duration-millisec</t>
  </si>
  <si>
    <t>1/8, 1/16</t>
  </si>
  <si>
    <t>1/16, 1/32</t>
  </si>
  <si>
    <t>&gt;10:1</t>
  </si>
  <si>
    <t>1/8,1/16,1/32</t>
  </si>
  <si>
    <t>Threshold Frame Size for AMC 1x3</t>
  </si>
  <si>
    <t>Threshold Frame Size for AMC 1x6</t>
  </si>
  <si>
    <t>Subchannels included in per-cell OTA rate but not in per-sector rate</t>
  </si>
  <si>
    <t>Frame Duration</t>
  </si>
  <si>
    <t>Performance expectations for Channel Subgroups 1 and 2 (Bandwidths from 100 kHz to 300 kHz)</t>
  </si>
  <si>
    <t>Frame size for 10:1 UL/DL or DL/UL with AMC 1x6</t>
  </si>
  <si>
    <t>Frame size for 10:1 UL/DL or DL/UL with AMC 1x3</t>
  </si>
  <si>
    <t>% Subchannels Used</t>
  </si>
  <si>
    <t>Peak UL PHY Rate per Sector</t>
  </si>
  <si>
    <t>Peak DL PHY Rate per Sector</t>
  </si>
  <si>
    <t>OTA Sector Rate for Reuse (1,3,3)&amp;(SISO)</t>
  </si>
  <si>
    <t>OTA Cell Rate for Reuse (1,3,3)&amp;(SISO)</t>
  </si>
  <si>
    <t>Sheet 1:</t>
  </si>
  <si>
    <t>SubGroup 4 includes channel BWs from 0.55 MHz to 1.0 MHz. 1.25 MHz is also included to provide a comparison to the parameters specified in IEEE 802.16-2012</t>
  </si>
  <si>
    <t>SubGroup 3 includes channel BWs from 0.35 MHz to 0.50 MHz, SubGroup 2 Includes channel BWs from  0.20 MHz to 0.30 MHz, and SubGroup 1 includes channel BWs of 0.10 MHz and 0.15 MHz.</t>
  </si>
  <si>
    <t>The following spreadsheets provide a means for evaluating the performance tradeoffs for channel bandwidths less than 1.25 MHz for various parameter choices.</t>
  </si>
  <si>
    <t>dgray.tcs@gmail.com</t>
  </si>
  <si>
    <t>Sheet 3:</t>
  </si>
  <si>
    <t xml:space="preserve">Provides a summary of selected parameter choices for channel BWs in SubGroups 1 and 2 (0.10, 0.15, 0.20, 0.25, and 0.30 MHz). </t>
  </si>
  <si>
    <t>E-mail:</t>
  </si>
  <si>
    <t>Note:</t>
  </si>
  <si>
    <r>
      <t xml:space="preserve">The CODE to 'unprotect' sheets 1 and 2 is </t>
    </r>
    <r>
      <rPr>
        <b/>
        <sz val="11"/>
        <color theme="1"/>
        <rFont val="Calibri"/>
        <family val="2"/>
        <scheme val="minor"/>
      </rPr>
      <t>123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</si>
</sst>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0\ \M\H\z"/>
    <numFmt numFmtId="165" formatCode="#\ ???/???"/>
    <numFmt numFmtId="166" formatCode="0.00\ \u\s"/>
    <numFmt numFmtId="167" formatCode="0.0\ \m\s"/>
    <numFmt numFmtId="168" formatCode="0.00\ \m\i"/>
    <numFmt numFmtId="169" formatCode="0\ \b\y\t\e\s"/>
    <numFmt numFmtId="170" formatCode="0.0\ \b\p\s\/\H\z"/>
    <numFmt numFmtId="171" formatCode="0\ \B\y\t\e\s"/>
    <numFmt numFmtId="172" formatCode="0.0\ \k\b\p\s"/>
    <numFmt numFmtId="173" formatCode="0.000\ \k\H\z"/>
    <numFmt numFmtId="174" formatCode="0.000\ \M\H\z"/>
    <numFmt numFmtId="175" formatCode="0\ \S\y\m\b\o\l"/>
    <numFmt numFmtId="176" formatCode="0\ \S\l\o\t"/>
    <numFmt numFmtId="177" formatCode="0\ \S\y\m\b\o\l\s"/>
    <numFmt numFmtId="178" formatCode="0\ \B\i\n\s"/>
    <numFmt numFmtId="179" formatCode="0\ \S\l\o\t\s"/>
    <numFmt numFmtId="180" formatCode="0\ \B\i\t\s"/>
    <numFmt numFmtId="181" formatCode="0.0\ \B\y\t\e\s"/>
    <numFmt numFmtId="182" formatCode="0.00\ \b\p\s\/\H\z"/>
    <numFmt numFmtId="183" formatCode="0\ \m\s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51">
    <xf numFmtId="0" fontId="0" fillId="0" borderId="0" xfId="0"/>
    <xf numFmtId="166" fontId="0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0" xfId="0" quotePrefix="1"/>
    <xf numFmtId="165" fontId="0" fillId="0" borderId="0" xfId="0" applyNumberFormat="1"/>
    <xf numFmtId="174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3" fontId="0" fillId="0" borderId="0" xfId="0" applyNumberFormat="1"/>
    <xf numFmtId="13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74" fontId="0" fillId="0" borderId="1" xfId="1" applyNumberFormat="1" applyFon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7" xfId="1" applyFont="1" applyBorder="1" applyAlignment="1">
      <alignment horizontal="center"/>
    </xf>
    <xf numFmtId="174" fontId="0" fillId="0" borderId="7" xfId="0" applyNumberFormat="1" applyBorder="1" applyAlignment="1">
      <alignment horizontal="center"/>
    </xf>
    <xf numFmtId="173" fontId="0" fillId="0" borderId="7" xfId="0" applyNumberForma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74" fontId="0" fillId="0" borderId="7" xfId="1" applyNumberFormat="1" applyFon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3" borderId="1" xfId="0" applyFill="1" applyBorder="1"/>
    <xf numFmtId="171" fontId="0" fillId="0" borderId="1" xfId="0" applyNumberFormat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81" fontId="0" fillId="0" borderId="1" xfId="0" applyNumberFormat="1" applyBorder="1" applyAlignment="1">
      <alignment horizontal="center"/>
    </xf>
    <xf numFmtId="182" fontId="0" fillId="0" borderId="1" xfId="0" applyNumberFormat="1" applyBorder="1" applyAlignment="1">
      <alignment horizontal="center"/>
    </xf>
    <xf numFmtId="175" fontId="0" fillId="0" borderId="7" xfId="0" applyNumberFormat="1" applyFill="1" applyBorder="1" applyAlignment="1">
      <alignment horizontal="center"/>
    </xf>
    <xf numFmtId="177" fontId="0" fillId="0" borderId="7" xfId="0" applyNumberFormat="1" applyFill="1" applyBorder="1" applyAlignment="1">
      <alignment horizontal="center"/>
    </xf>
    <xf numFmtId="178" fontId="0" fillId="0" borderId="7" xfId="0" applyNumberForma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5" fontId="0" fillId="0" borderId="7" xfId="0" applyNumberFormat="1" applyBorder="1" applyAlignment="1">
      <alignment horizontal="center"/>
    </xf>
    <xf numFmtId="179" fontId="0" fillId="0" borderId="1" xfId="0" applyNumberFormat="1" applyFill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9" fontId="2" fillId="0" borderId="1" xfId="0" applyNumberFormat="1" applyFont="1" applyBorder="1" applyAlignment="1">
      <alignment horizontal="center"/>
    </xf>
    <xf numFmtId="170" fontId="0" fillId="0" borderId="1" xfId="0" applyNumberFormat="1" applyBorder="1"/>
    <xf numFmtId="179" fontId="0" fillId="3" borderId="1" xfId="0" applyNumberFormat="1" applyFill="1" applyBorder="1" applyAlignment="1">
      <alignment horizontal="center"/>
    </xf>
    <xf numFmtId="181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7" fontId="2" fillId="0" borderId="7" xfId="0" applyNumberFormat="1" applyFont="1" applyBorder="1" applyAlignment="1">
      <alignment horizontal="center"/>
    </xf>
    <xf numFmtId="181" fontId="0" fillId="3" borderId="8" xfId="0" applyNumberFormat="1" applyFill="1" applyBorder="1" applyAlignment="1">
      <alignment horizontal="center"/>
    </xf>
    <xf numFmtId="171" fontId="0" fillId="3" borderId="8" xfId="0" applyNumberFormat="1" applyFill="1" applyBorder="1" applyAlignment="1">
      <alignment horizontal="center"/>
    </xf>
    <xf numFmtId="0" fontId="0" fillId="0" borderId="8" xfId="0" applyFont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8" xfId="0" applyFont="1" applyBorder="1" applyAlignment="1">
      <alignment horizontal="right" vertical="center"/>
    </xf>
    <xf numFmtId="0" fontId="0" fillId="2" borderId="8" xfId="0" applyFont="1" applyFill="1" applyBorder="1" applyAlignment="1">
      <alignment horizontal="right" wrapText="1"/>
    </xf>
    <xf numFmtId="0" fontId="0" fillId="0" borderId="8" xfId="0" applyFont="1" applyFill="1" applyBorder="1" applyAlignment="1">
      <alignment horizontal="right" wrapText="1"/>
    </xf>
    <xf numFmtId="0" fontId="0" fillId="0" borderId="8" xfId="0" applyFont="1" applyBorder="1" applyAlignment="1">
      <alignment horizontal="right" wrapText="1"/>
    </xf>
    <xf numFmtId="0" fontId="2" fillId="3" borderId="8" xfId="0" applyFont="1" applyFill="1" applyBorder="1" applyAlignment="1">
      <alignment horizontal="left" wrapText="1"/>
    </xf>
    <xf numFmtId="179" fontId="2" fillId="0" borderId="7" xfId="0" applyNumberFormat="1" applyFont="1" applyBorder="1" applyAlignment="1">
      <alignment horizontal="center"/>
    </xf>
    <xf numFmtId="180" fontId="0" fillId="0" borderId="7" xfId="0" applyNumberFormat="1" applyBorder="1" applyAlignment="1">
      <alignment horizontal="center"/>
    </xf>
    <xf numFmtId="171" fontId="0" fillId="0" borderId="7" xfId="0" applyNumberFormat="1" applyBorder="1" applyAlignment="1">
      <alignment horizontal="center"/>
    </xf>
    <xf numFmtId="179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77" fontId="5" fillId="0" borderId="7" xfId="0" applyNumberFormat="1" applyFont="1" applyBorder="1" applyAlignment="1">
      <alignment horizontal="center"/>
    </xf>
    <xf numFmtId="170" fontId="0" fillId="0" borderId="7" xfId="0" applyNumberFormat="1" applyBorder="1"/>
    <xf numFmtId="181" fontId="0" fillId="0" borderId="7" xfId="0" applyNumberFormat="1" applyBorder="1" applyAlignment="1">
      <alignment horizontal="center"/>
    </xf>
    <xf numFmtId="0" fontId="0" fillId="3" borderId="7" xfId="0" applyFill="1" applyBorder="1"/>
    <xf numFmtId="172" fontId="0" fillId="0" borderId="7" xfId="0" applyNumberFormat="1" applyBorder="1" applyAlignment="1">
      <alignment horizontal="center"/>
    </xf>
    <xf numFmtId="182" fontId="0" fillId="0" borderId="7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6" fontId="0" fillId="3" borderId="8" xfId="0" applyNumberFormat="1" applyFill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0" borderId="0" xfId="0" applyNumberFormat="1" applyBorder="1" applyAlignment="1">
      <alignment vertical="top" wrapText="1"/>
    </xf>
    <xf numFmtId="0" fontId="0" fillId="0" borderId="0" xfId="0" quotePrefix="1" applyAlignment="1">
      <alignment horizontal="center"/>
    </xf>
    <xf numFmtId="0" fontId="0" fillId="0" borderId="0" xfId="0" applyBorder="1" applyAlignment="1">
      <alignment horizontal="right"/>
    </xf>
    <xf numFmtId="183" fontId="0" fillId="0" borderId="0" xfId="0" applyNumberFormat="1" applyFill="1" applyBorder="1" applyAlignment="1">
      <alignment horizontal="center"/>
    </xf>
    <xf numFmtId="0" fontId="0" fillId="0" borderId="18" xfId="0" applyBorder="1"/>
    <xf numFmtId="175" fontId="0" fillId="0" borderId="1" xfId="0" applyNumberForma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0" fillId="0" borderId="8" xfId="0" applyBorder="1" applyAlignment="1">
      <alignment horizontal="right" vertical="top" wrapText="1"/>
    </xf>
    <xf numFmtId="0" fontId="0" fillId="0" borderId="17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81" fontId="0" fillId="3" borderId="7" xfId="0" applyNumberFormat="1" applyFill="1" applyBorder="1" applyAlignment="1">
      <alignment horizontal="center"/>
    </xf>
    <xf numFmtId="171" fontId="0" fillId="3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183" fontId="0" fillId="0" borderId="9" xfId="0" applyNumberFormat="1" applyFill="1" applyBorder="1" applyAlignment="1">
      <alignment horizontal="center"/>
    </xf>
    <xf numFmtId="183" fontId="0" fillId="0" borderId="10" xfId="0" applyNumberForma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0" fontId="0" fillId="3" borderId="12" xfId="0" applyFill="1" applyBorder="1"/>
    <xf numFmtId="0" fontId="0" fillId="0" borderId="8" xfId="0" applyFill="1" applyBorder="1" applyAlignment="1">
      <alignment horizontal="right"/>
    </xf>
    <xf numFmtId="0" fontId="6" fillId="0" borderId="8" xfId="0" applyFont="1" applyBorder="1" applyAlignment="1">
      <alignment horizontal="right" vertical="center"/>
    </xf>
    <xf numFmtId="0" fontId="0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0" fillId="3" borderId="8" xfId="1" applyFont="1" applyFill="1" applyBorder="1" applyAlignment="1">
      <alignment horizontal="center"/>
    </xf>
    <xf numFmtId="174" fontId="0" fillId="3" borderId="8" xfId="0" applyNumberFormat="1" applyFill="1" applyBorder="1" applyAlignment="1">
      <alignment horizontal="center"/>
    </xf>
    <xf numFmtId="173" fontId="0" fillId="3" borderId="8" xfId="0" applyNumberFormat="1" applyFill="1" applyBorder="1" applyAlignment="1">
      <alignment horizontal="center"/>
    </xf>
    <xf numFmtId="10" fontId="0" fillId="3" borderId="8" xfId="1" applyNumberFormat="1" applyFont="1" applyFill="1" applyBorder="1" applyAlignment="1">
      <alignment horizontal="center"/>
    </xf>
    <xf numFmtId="174" fontId="0" fillId="3" borderId="8" xfId="1" applyNumberFormat="1" applyFont="1" applyFill="1" applyBorder="1" applyAlignment="1">
      <alignment horizontal="center"/>
    </xf>
    <xf numFmtId="166" fontId="0" fillId="3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177" fontId="2" fillId="3" borderId="8" xfId="0" applyNumberFormat="1" applyFont="1" applyFill="1" applyBorder="1" applyAlignment="1">
      <alignment horizontal="center"/>
    </xf>
    <xf numFmtId="175" fontId="0" fillId="3" borderId="8" xfId="0" applyNumberFormat="1" applyFill="1" applyBorder="1" applyAlignment="1">
      <alignment horizontal="center"/>
    </xf>
    <xf numFmtId="177" fontId="0" fillId="3" borderId="8" xfId="0" applyNumberFormat="1" applyFill="1" applyBorder="1" applyAlignment="1">
      <alignment horizontal="center"/>
    </xf>
    <xf numFmtId="166" fontId="0" fillId="3" borderId="8" xfId="0" applyNumberFormat="1" applyFont="1" applyFill="1" applyBorder="1" applyAlignment="1">
      <alignment horizontal="center"/>
    </xf>
    <xf numFmtId="168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 applyAlignment="1">
      <alignment horizontal="center"/>
    </xf>
    <xf numFmtId="179" fontId="2" fillId="3" borderId="8" xfId="0" applyNumberFormat="1" applyFont="1" applyFill="1" applyBorder="1" applyAlignment="1">
      <alignment horizontal="center"/>
    </xf>
    <xf numFmtId="180" fontId="0" fillId="3" borderId="8" xfId="0" applyNumberFormat="1" applyFill="1" applyBorder="1" applyAlignment="1">
      <alignment horizontal="center"/>
    </xf>
    <xf numFmtId="179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177" fontId="5" fillId="3" borderId="8" xfId="0" applyNumberFormat="1" applyFont="1" applyFill="1" applyBorder="1" applyAlignment="1">
      <alignment horizontal="center"/>
    </xf>
    <xf numFmtId="172" fontId="0" fillId="3" borderId="8" xfId="0" applyNumberFormat="1" applyFill="1" applyBorder="1" applyAlignment="1">
      <alignment horizontal="center"/>
    </xf>
    <xf numFmtId="0" fontId="0" fillId="0" borderId="4" xfId="0" applyBorder="1"/>
    <xf numFmtId="0" fontId="4" fillId="0" borderId="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7" fillId="3" borderId="8" xfId="0" applyNumberFormat="1" applyFont="1" applyFill="1" applyBorder="1" applyAlignment="1" applyProtection="1">
      <alignment horizontal="center" vertical="center"/>
    </xf>
    <xf numFmtId="172" fontId="0" fillId="0" borderId="2" xfId="0" applyNumberForma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9" fontId="0" fillId="0" borderId="22" xfId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74" fontId="0" fillId="0" borderId="22" xfId="0" applyNumberFormat="1" applyBorder="1" applyAlignment="1">
      <alignment horizontal="center"/>
    </xf>
    <xf numFmtId="173" fontId="0" fillId="0" borderId="22" xfId="0" applyNumberFormat="1" applyBorder="1" applyAlignment="1">
      <alignment horizontal="center"/>
    </xf>
    <xf numFmtId="10" fontId="0" fillId="0" borderId="22" xfId="1" applyNumberFormat="1" applyFont="1" applyBorder="1" applyAlignment="1">
      <alignment horizontal="center"/>
    </xf>
    <xf numFmtId="174" fontId="0" fillId="0" borderId="22" xfId="1" applyNumberFormat="1" applyFon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3" fontId="0" fillId="0" borderId="22" xfId="0" applyNumberForma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77" fontId="2" fillId="0" borderId="22" xfId="0" applyNumberFormat="1" applyFont="1" applyBorder="1" applyAlignment="1">
      <alignment horizontal="center"/>
    </xf>
    <xf numFmtId="175" fontId="0" fillId="0" borderId="22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166" fontId="0" fillId="0" borderId="22" xfId="0" applyNumberFormat="1" applyFont="1" applyBorder="1" applyAlignment="1">
      <alignment horizontal="center"/>
    </xf>
    <xf numFmtId="168" fontId="0" fillId="0" borderId="22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7" fontId="0" fillId="0" borderId="22" xfId="0" applyNumberFormat="1" applyFill="1" applyBorder="1" applyAlignment="1">
      <alignment horizontal="center"/>
    </xf>
    <xf numFmtId="179" fontId="2" fillId="0" borderId="22" xfId="0" applyNumberFormat="1" applyFont="1" applyBorder="1" applyAlignment="1">
      <alignment horizontal="center"/>
    </xf>
    <xf numFmtId="180" fontId="0" fillId="0" borderId="22" xfId="0" applyNumberFormat="1" applyBorder="1" applyAlignment="1">
      <alignment horizontal="center"/>
    </xf>
    <xf numFmtId="171" fontId="0" fillId="0" borderId="22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9" fontId="0" fillId="0" borderId="2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179" fontId="0" fillId="0" borderId="22" xfId="0" applyNumberFormat="1" applyFill="1" applyBorder="1" applyAlignment="1">
      <alignment horizontal="center"/>
    </xf>
    <xf numFmtId="177" fontId="5" fillId="0" borderId="22" xfId="0" applyNumberFormat="1" applyFont="1" applyBorder="1" applyAlignment="1">
      <alignment horizontal="center"/>
    </xf>
    <xf numFmtId="170" fontId="0" fillId="0" borderId="22" xfId="0" applyNumberFormat="1" applyBorder="1"/>
    <xf numFmtId="181" fontId="0" fillId="0" borderId="22" xfId="0" applyNumberFormat="1" applyBorder="1" applyAlignment="1">
      <alignment horizontal="center"/>
    </xf>
    <xf numFmtId="0" fontId="0" fillId="3" borderId="22" xfId="0" applyFill="1" applyBorder="1"/>
    <xf numFmtId="172" fontId="0" fillId="0" borderId="22" xfId="0" applyNumberFormat="1" applyBorder="1" applyAlignment="1">
      <alignment horizontal="center"/>
    </xf>
    <xf numFmtId="182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183" fontId="0" fillId="0" borderId="11" xfId="0" applyNumberFormat="1" applyFill="1" applyBorder="1" applyAlignment="1">
      <alignment horizontal="center"/>
    </xf>
    <xf numFmtId="0" fontId="0" fillId="0" borderId="23" xfId="0" applyBorder="1"/>
    <xf numFmtId="1" fontId="0" fillId="0" borderId="2" xfId="0" applyNumberFormat="1" applyBorder="1" applyAlignment="1">
      <alignment horizontal="center"/>
    </xf>
    <xf numFmtId="18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183" fontId="0" fillId="0" borderId="24" xfId="0" applyNumberForma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23" xfId="0" applyFont="1" applyBorder="1"/>
    <xf numFmtId="0" fontId="0" fillId="3" borderId="23" xfId="0" applyFill="1" applyBorder="1"/>
    <xf numFmtId="0" fontId="0" fillId="0" borderId="23" xfId="0" applyNumberFormat="1" applyBorder="1" applyAlignment="1">
      <alignment vertical="top" wrapText="1"/>
    </xf>
    <xf numFmtId="0" fontId="3" fillId="0" borderId="12" xfId="0" applyFont="1" applyBorder="1" applyAlignment="1">
      <alignment wrapText="1"/>
    </xf>
    <xf numFmtId="0" fontId="3" fillId="0" borderId="23" xfId="0" applyNumberFormat="1" applyFont="1" applyBorder="1" applyAlignment="1">
      <alignment vertical="top" wrapText="1"/>
    </xf>
    <xf numFmtId="0" fontId="3" fillId="0" borderId="26" xfId="0" applyNumberFormat="1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3" fillId="0" borderId="12" xfId="0" applyNumberFormat="1" applyFont="1" applyBorder="1" applyAlignment="1">
      <alignment vertical="top" wrapText="1"/>
    </xf>
    <xf numFmtId="0" fontId="3" fillId="0" borderId="13" xfId="0" applyNumberFormat="1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0" fillId="0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/>
    </xf>
    <xf numFmtId="183" fontId="0" fillId="3" borderId="13" xfId="0" applyNumberFormat="1" applyFill="1" applyBorder="1" applyAlignment="1">
      <alignment horizontal="center"/>
    </xf>
    <xf numFmtId="0" fontId="0" fillId="3" borderId="27" xfId="0" applyFill="1" applyBorder="1" applyAlignment="1">
      <alignment horizontal="center" vertical="center"/>
    </xf>
    <xf numFmtId="182" fontId="0" fillId="3" borderId="12" xfId="0" applyNumberFormat="1" applyFill="1" applyBorder="1" applyAlignment="1">
      <alignment horizontal="center"/>
    </xf>
    <xf numFmtId="172" fontId="0" fillId="3" borderId="12" xfId="0" applyNumberFormat="1" applyFill="1" applyBorder="1" applyAlignment="1">
      <alignment horizontal="center"/>
    </xf>
    <xf numFmtId="172" fontId="0" fillId="3" borderId="27" xfId="0" applyNumberFormat="1" applyFill="1" applyBorder="1" applyAlignment="1">
      <alignment horizontal="center"/>
    </xf>
    <xf numFmtId="171" fontId="0" fillId="3" borderId="12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right" wrapText="1"/>
    </xf>
    <xf numFmtId="179" fontId="2" fillId="4" borderId="7" xfId="0" applyNumberFormat="1" applyFont="1" applyFill="1" applyBorder="1" applyAlignment="1">
      <alignment horizontal="center"/>
    </xf>
    <xf numFmtId="179" fontId="2" fillId="4" borderId="1" xfId="0" applyNumberFormat="1" applyFont="1" applyFill="1" applyBorder="1" applyAlignment="1">
      <alignment horizontal="center"/>
    </xf>
    <xf numFmtId="179" fontId="2" fillId="4" borderId="22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79" fontId="6" fillId="5" borderId="28" xfId="0" applyNumberFormat="1" applyFont="1" applyFill="1" applyBorder="1" applyAlignment="1">
      <alignment horizontal="center"/>
    </xf>
    <xf numFmtId="179" fontId="6" fillId="5" borderId="1" xfId="0" applyNumberFormat="1" applyFont="1" applyFill="1" applyBorder="1" applyAlignment="1">
      <alignment horizontal="center"/>
    </xf>
    <xf numFmtId="179" fontId="4" fillId="5" borderId="1" xfId="0" applyNumberFormat="1" applyFont="1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3" fontId="0" fillId="3" borderId="8" xfId="0" applyNumberFormat="1" applyFill="1" applyBorder="1" applyAlignment="1" applyProtection="1">
      <alignment horizontal="center"/>
      <protection locked="0"/>
    </xf>
    <xf numFmtId="13" fontId="0" fillId="2" borderId="7" xfId="0" applyNumberFormat="1" applyFill="1" applyBorder="1" applyAlignment="1" applyProtection="1">
      <alignment horizontal="center"/>
      <protection locked="0"/>
    </xf>
    <xf numFmtId="167" fontId="0" fillId="3" borderId="8" xfId="0" applyNumberFormat="1" applyFill="1" applyBorder="1" applyAlignment="1" applyProtection="1">
      <alignment horizontal="center"/>
      <protection locked="0"/>
    </xf>
    <xf numFmtId="167" fontId="0" fillId="2" borderId="7" xfId="0" applyNumberFormat="1" applyFill="1" applyBorder="1" applyAlignment="1" applyProtection="1">
      <alignment horizontal="center"/>
      <protection locked="0"/>
    </xf>
    <xf numFmtId="175" fontId="0" fillId="3" borderId="8" xfId="0" applyNumberFormat="1" applyFill="1" applyBorder="1" applyAlignment="1" applyProtection="1">
      <alignment horizontal="center" vertical="center"/>
      <protection locked="0"/>
    </xf>
    <xf numFmtId="175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70" fontId="1" fillId="3" borderId="8" xfId="1" applyNumberFormat="1" applyFont="1" applyFill="1" applyBorder="1" applyAlignment="1" applyProtection="1">
      <alignment horizontal="center"/>
      <protection locked="0"/>
    </xf>
    <xf numFmtId="170" fontId="1" fillId="2" borderId="7" xfId="1" applyNumberFormat="1" applyFont="1" applyFill="1" applyBorder="1" applyAlignment="1" applyProtection="1">
      <alignment horizontal="center"/>
      <protection locked="0"/>
    </xf>
    <xf numFmtId="175" fontId="0" fillId="2" borderId="7" xfId="0" applyNumberFormat="1" applyFill="1" applyBorder="1" applyAlignment="1" applyProtection="1">
      <alignment horizontal="center"/>
      <protection locked="0"/>
    </xf>
    <xf numFmtId="182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82" fontId="0" fillId="0" borderId="8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3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9" fontId="4" fillId="0" borderId="1" xfId="0" applyNumberFormat="1" applyFont="1" applyBorder="1" applyAlignment="1">
      <alignment horizontal="center"/>
    </xf>
    <xf numFmtId="182" fontId="4" fillId="0" borderId="1" xfId="0" applyNumberFormat="1" applyFont="1" applyBorder="1" applyAlignment="1">
      <alignment horizontal="center"/>
    </xf>
    <xf numFmtId="13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82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9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1" xfId="0" applyNumberFormat="1" applyFont="1" applyFill="1" applyBorder="1" applyAlignment="1">
      <alignment horizontal="center"/>
    </xf>
    <xf numFmtId="182" fontId="0" fillId="5" borderId="1" xfId="0" applyNumberForma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82" fontId="4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3" fontId="6" fillId="0" borderId="1" xfId="0" applyNumberFormat="1" applyFont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82" fontId="6" fillId="5" borderId="1" xfId="0" applyNumberFormat="1" applyFont="1" applyFill="1" applyBorder="1" applyAlignment="1">
      <alignment horizontal="center"/>
    </xf>
    <xf numFmtId="167" fontId="6" fillId="0" borderId="4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3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2" fontId="0" fillId="0" borderId="0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3" fontId="2" fillId="0" borderId="4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9" fontId="2" fillId="0" borderId="4" xfId="0" applyNumberFormat="1" applyFont="1" applyBorder="1" applyAlignment="1">
      <alignment horizontal="center"/>
    </xf>
    <xf numFmtId="182" fontId="2" fillId="0" borderId="4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3" fontId="0" fillId="0" borderId="5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9" fontId="0" fillId="0" borderId="5" xfId="0" applyNumberFormat="1" applyBorder="1" applyAlignment="1">
      <alignment horizontal="center"/>
    </xf>
    <xf numFmtId="182" fontId="0" fillId="0" borderId="5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3" fontId="0" fillId="0" borderId="21" xfId="0" applyNumberFormat="1" applyBorder="1" applyAlignment="1">
      <alignment horizontal="center"/>
    </xf>
    <xf numFmtId="167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79" fontId="0" fillId="0" borderId="21" xfId="0" applyNumberFormat="1" applyBorder="1" applyAlignment="1">
      <alignment horizontal="center"/>
    </xf>
    <xf numFmtId="182" fontId="0" fillId="0" borderId="21" xfId="0" applyNumberFormat="1" applyBorder="1" applyAlignment="1">
      <alignment horizontal="center"/>
    </xf>
    <xf numFmtId="13" fontId="6" fillId="0" borderId="28" xfId="0" applyNumberFormat="1" applyFont="1" applyFill="1" applyBorder="1" applyAlignment="1">
      <alignment horizontal="center"/>
    </xf>
    <xf numFmtId="182" fontId="0" fillId="5" borderId="4" xfId="0" applyNumberFormat="1" applyFill="1" applyBorder="1" applyAlignment="1">
      <alignment horizontal="center"/>
    </xf>
    <xf numFmtId="13" fontId="0" fillId="0" borderId="1" xfId="0" applyNumberFormat="1" applyFont="1" applyBorder="1" applyAlignment="1">
      <alignment horizontal="center"/>
    </xf>
    <xf numFmtId="167" fontId="0" fillId="0" borderId="4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79" fontId="0" fillId="5" borderId="1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182" fontId="0" fillId="5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3" fontId="9" fillId="0" borderId="1" xfId="0" applyNumberFormat="1" applyFont="1" applyBorder="1" applyAlignment="1">
      <alignment horizontal="center"/>
    </xf>
    <xf numFmtId="167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7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82" fontId="9" fillId="5" borderId="1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3" fontId="2" fillId="0" borderId="5" xfId="0" applyNumberFormat="1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9" fontId="2" fillId="0" borderId="5" xfId="0" applyNumberFormat="1" applyFont="1" applyBorder="1" applyAlignment="1">
      <alignment horizontal="center"/>
    </xf>
    <xf numFmtId="182" fontId="2" fillId="0" borderId="5" xfId="0" applyNumberFormat="1" applyFont="1" applyBorder="1" applyAlignment="1">
      <alignment horizontal="center"/>
    </xf>
    <xf numFmtId="0" fontId="3" fillId="0" borderId="0" xfId="0" applyFont="1"/>
    <xf numFmtId="13" fontId="9" fillId="0" borderId="21" xfId="0" applyNumberFormat="1" applyFont="1" applyFill="1" applyBorder="1" applyAlignment="1">
      <alignment horizontal="center"/>
    </xf>
    <xf numFmtId="167" fontId="9" fillId="0" borderId="4" xfId="0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179" fontId="9" fillId="5" borderId="28" xfId="0" applyNumberFormat="1" applyFont="1" applyFill="1" applyBorder="1" applyAlignment="1">
      <alignment horizontal="center"/>
    </xf>
    <xf numFmtId="0" fontId="10" fillId="0" borderId="4" xfId="0" applyFont="1" applyBorder="1"/>
    <xf numFmtId="0" fontId="3" fillId="0" borderId="18" xfId="0" applyFont="1" applyBorder="1"/>
    <xf numFmtId="0" fontId="10" fillId="0" borderId="18" xfId="0" applyFont="1" applyBorder="1"/>
    <xf numFmtId="0" fontId="0" fillId="0" borderId="5" xfId="0" applyBorder="1"/>
    <xf numFmtId="0" fontId="3" fillId="0" borderId="4" xfId="0" applyFont="1" applyBorder="1"/>
    <xf numFmtId="0" fontId="10" fillId="0" borderId="5" xfId="0" applyFont="1" applyBorder="1"/>
    <xf numFmtId="164" fontId="0" fillId="0" borderId="1" xfId="0" applyNumberFormat="1" applyFont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79" fontId="0" fillId="0" borderId="1" xfId="0" applyNumberFormat="1" applyFont="1" applyBorder="1" applyAlignment="1">
      <alignment horizontal="center"/>
    </xf>
    <xf numFmtId="182" fontId="0" fillId="0" borderId="1" xfId="0" applyNumberFormat="1" applyFont="1" applyBorder="1" applyAlignment="1">
      <alignment horizontal="center"/>
    </xf>
    <xf numFmtId="0" fontId="11" fillId="3" borderId="3" xfId="0" applyFont="1" applyFill="1" applyBorder="1"/>
    <xf numFmtId="0" fontId="0" fillId="3" borderId="21" xfId="0" applyFill="1" applyBorder="1"/>
    <xf numFmtId="0" fontId="0" fillId="3" borderId="2" xfId="0" applyFill="1" applyBorder="1"/>
    <xf numFmtId="0" fontId="2" fillId="3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2" xfId="0" applyFill="1" applyBorder="1"/>
    <xf numFmtId="0" fontId="0" fillId="0" borderId="23" xfId="0" applyFill="1" applyBorder="1"/>
    <xf numFmtId="172" fontId="0" fillId="0" borderId="8" xfId="0" applyNumberFormat="1" applyFill="1" applyBorder="1" applyAlignment="1">
      <alignment horizontal="center"/>
    </xf>
    <xf numFmtId="172" fontId="0" fillId="0" borderId="8" xfId="0" applyNumberFormat="1" applyBorder="1" applyAlignment="1">
      <alignment horizontal="center"/>
    </xf>
    <xf numFmtId="172" fontId="0" fillId="0" borderId="1" xfId="0" applyNumberFormat="1" applyFill="1" applyBorder="1" applyAlignment="1">
      <alignment horizontal="center"/>
    </xf>
    <xf numFmtId="0" fontId="3" fillId="0" borderId="23" xfId="0" applyFont="1" applyBorder="1" applyAlignment="1">
      <alignment wrapText="1"/>
    </xf>
    <xf numFmtId="172" fontId="0" fillId="0" borderId="7" xfId="0" applyNumberFormat="1" applyFill="1" applyBorder="1" applyAlignment="1">
      <alignment horizontal="center"/>
    </xf>
    <xf numFmtId="172" fontId="0" fillId="0" borderId="22" xfId="0" applyNumberFormat="1" applyFill="1" applyBorder="1" applyAlignment="1">
      <alignment horizontal="center"/>
    </xf>
    <xf numFmtId="179" fontId="0" fillId="0" borderId="8" xfId="0" applyNumberFormat="1" applyFill="1" applyBorder="1" applyAlignment="1">
      <alignment horizontal="center"/>
    </xf>
    <xf numFmtId="179" fontId="0" fillId="0" borderId="0" xfId="0" applyNumberFormat="1" applyAlignment="1">
      <alignment horizontal="center"/>
    </xf>
    <xf numFmtId="179" fontId="2" fillId="4" borderId="8" xfId="0" applyNumberFormat="1" applyFont="1" applyFill="1" applyBorder="1" applyAlignment="1">
      <alignment horizontal="center"/>
    </xf>
    <xf numFmtId="2" fontId="0" fillId="3" borderId="7" xfId="0" applyNumberFormat="1" applyFill="1" applyBorder="1" applyAlignment="1" applyProtection="1">
      <alignment horizontal="center"/>
      <protection locked="0"/>
    </xf>
    <xf numFmtId="177" fontId="6" fillId="3" borderId="12" xfId="0" applyNumberFormat="1" applyFont="1" applyFill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6" fillId="0" borderId="7" xfId="0" applyNumberFormat="1" applyFont="1" applyBorder="1" applyAlignment="1">
      <alignment horizontal="center"/>
    </xf>
    <xf numFmtId="177" fontId="6" fillId="0" borderId="23" xfId="0" applyNumberFormat="1" applyFont="1" applyBorder="1" applyAlignment="1">
      <alignment horizontal="center"/>
    </xf>
    <xf numFmtId="179" fontId="0" fillId="0" borderId="23" xfId="0" applyNumberFormat="1" applyFill="1" applyBorder="1" applyAlignment="1">
      <alignment horizontal="center"/>
    </xf>
    <xf numFmtId="0" fontId="0" fillId="0" borderId="0" xfId="0" applyAlignment="1">
      <alignment vertical="top"/>
    </xf>
    <xf numFmtId="0" fontId="2" fillId="0" borderId="0" xfId="0" applyFont="1"/>
    <xf numFmtId="0" fontId="12" fillId="0" borderId="0" xfId="2"/>
    <xf numFmtId="0" fontId="0" fillId="0" borderId="0" xfId="0" applyAlignment="1">
      <alignment vertical="top" wrapText="1"/>
    </xf>
    <xf numFmtId="0" fontId="3" fillId="0" borderId="12" xfId="0" applyNumberFormat="1" applyFont="1" applyBorder="1" applyAlignment="1">
      <alignment vertical="center" wrapText="1"/>
    </xf>
    <xf numFmtId="0" fontId="2" fillId="3" borderId="6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0" borderId="23" xfId="0" applyNumberFormat="1" applyFont="1" applyBorder="1" applyAlignment="1">
      <alignment vertical="center" wrapText="1"/>
    </xf>
    <xf numFmtId="0" fontId="0" fillId="0" borderId="0" xfId="0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Douglas\My%20Documents\TelConsulting\WiMAX%20Projects\Mobile%20WiMAX\Mobile%20Business%20Case\Business%20Case%20Model%20-%20Generic\Archive\Mobile%20Bus%20Case%20Model%20v2.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Services_&amp;_Customer_Mix"/>
      <sheetName val="2.0 Demographics_&amp;_Req_Capacity"/>
      <sheetName val="3.0 CAPEX_and_OPEX"/>
      <sheetName val="4.0 Financial_Summary"/>
      <sheetName val="5.0 Sensitivity_Analysis"/>
      <sheetName val="6.0 Interference_Ltd_DD_2.5GHz"/>
      <sheetName val="7.0 Noise+Int Ltd DD_2.5GHz"/>
      <sheetName val="8.0 Intel_Range_Calculations"/>
    </sheetNames>
    <sheetDataSet>
      <sheetData sheetId="0" refreshError="1"/>
      <sheetData sheetId="1">
        <row r="31">
          <cell r="C31">
            <v>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gray.tc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Normal="100" workbookViewId="0">
      <selection activeCell="H12" sqref="H12"/>
    </sheetView>
  </sheetViews>
  <sheetFormatPr defaultRowHeight="15" x14ac:dyDescent="0.25"/>
  <sheetData>
    <row r="1" spans="1:9" ht="36.75" customHeight="1" x14ac:dyDescent="0.25">
      <c r="A1" s="341" t="s">
        <v>117</v>
      </c>
      <c r="B1" s="341"/>
      <c r="C1" s="341"/>
      <c r="D1" s="341"/>
      <c r="E1" s="341"/>
      <c r="F1" s="341"/>
      <c r="G1" s="341"/>
      <c r="H1" s="341"/>
      <c r="I1" s="341"/>
    </row>
    <row r="2" spans="1:9" ht="36" customHeight="1" x14ac:dyDescent="0.25">
      <c r="A2" s="338" t="s">
        <v>114</v>
      </c>
      <c r="B2" s="341" t="s">
        <v>115</v>
      </c>
      <c r="C2" s="341"/>
      <c r="D2" s="341"/>
      <c r="E2" s="341"/>
      <c r="F2" s="341"/>
      <c r="G2" s="341"/>
      <c r="H2" s="341"/>
      <c r="I2" s="341"/>
    </row>
    <row r="3" spans="1:9" ht="35.25" customHeight="1" x14ac:dyDescent="0.25">
      <c r="A3" s="338" t="s">
        <v>114</v>
      </c>
      <c r="B3" s="341" t="s">
        <v>116</v>
      </c>
      <c r="C3" s="341"/>
      <c r="D3" s="341"/>
      <c r="E3" s="341"/>
      <c r="F3" s="341"/>
      <c r="G3" s="341"/>
      <c r="H3" s="341"/>
      <c r="I3" s="341"/>
    </row>
    <row r="4" spans="1:9" ht="31.5" customHeight="1" x14ac:dyDescent="0.25">
      <c r="A4" s="338" t="s">
        <v>119</v>
      </c>
      <c r="B4" s="341" t="s">
        <v>120</v>
      </c>
      <c r="C4" s="341"/>
      <c r="D4" s="341"/>
      <c r="E4" s="341"/>
      <c r="F4" s="341"/>
      <c r="G4" s="341"/>
      <c r="H4" s="341"/>
      <c r="I4" s="341"/>
    </row>
    <row r="6" spans="1:9" x14ac:dyDescent="0.25">
      <c r="G6" s="339"/>
    </row>
    <row r="7" spans="1:9" x14ac:dyDescent="0.25">
      <c r="A7" t="s">
        <v>121</v>
      </c>
      <c r="B7" s="340" t="s">
        <v>118</v>
      </c>
    </row>
    <row r="10" spans="1:9" x14ac:dyDescent="0.25">
      <c r="A10" t="s">
        <v>122</v>
      </c>
      <c r="B10" s="350" t="s">
        <v>123</v>
      </c>
      <c r="C10" s="350"/>
      <c r="D10" s="350"/>
      <c r="E10" s="350"/>
      <c r="F10" s="350"/>
      <c r="G10" s="350"/>
      <c r="H10" s="350"/>
      <c r="I10" s="350"/>
    </row>
  </sheetData>
  <mergeCells count="5">
    <mergeCell ref="A1:I1"/>
    <mergeCell ref="B2:I2"/>
    <mergeCell ref="B3:I3"/>
    <mergeCell ref="B4:I4"/>
    <mergeCell ref="B10:I10"/>
  </mergeCells>
  <hyperlinks>
    <hyperlink ref="B7" r:id="rId1"/>
  </hyperlinks>
  <pageMargins left="0.7" right="0.7" top="0.75" bottom="0.75" header="0.3" footer="0.3"/>
  <pageSetup orientation="portrait" r:id="rId2"/>
  <headerFooter>
    <oddHeader>&amp;C&amp;F&amp;RPage &amp;P</oddHeader>
    <oddFooter>&amp;LDoug Gray&amp;CAffiliation: EPRI&amp;R&amp;D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" x14ac:dyDescent="0.25"/>
  <cols>
    <col min="1" max="1" width="3.85546875" customWidth="1"/>
    <col min="2" max="2" width="38.7109375" customWidth="1"/>
    <col min="3" max="17" width="11.7109375" customWidth="1"/>
    <col min="18" max="18" width="31.7109375" customWidth="1"/>
    <col min="19" max="25" width="11.7109375" customWidth="1"/>
  </cols>
  <sheetData>
    <row r="1" spans="1:18" ht="30" x14ac:dyDescent="0.25">
      <c r="A1" s="131">
        <v>1</v>
      </c>
      <c r="B1" s="90" t="s">
        <v>89</v>
      </c>
      <c r="C1" s="201" t="s">
        <v>78</v>
      </c>
      <c r="D1" s="343" t="s">
        <v>19</v>
      </c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5"/>
      <c r="R1" s="102" t="s">
        <v>56</v>
      </c>
    </row>
    <row r="2" spans="1:18" x14ac:dyDescent="0.25">
      <c r="A2" s="132">
        <f>A1+1</f>
        <v>2</v>
      </c>
      <c r="B2" s="59" t="s">
        <v>90</v>
      </c>
      <c r="C2" s="137">
        <v>1.25</v>
      </c>
      <c r="D2" s="134">
        <v>1.2</v>
      </c>
      <c r="E2" s="135">
        <f>D2-0.05</f>
        <v>1.1499999999999999</v>
      </c>
      <c r="F2" s="135">
        <f>E2-0.05</f>
        <v>1.0999999999999999</v>
      </c>
      <c r="G2" s="135">
        <f t="shared" ref="G2:Q2" si="0">F2-0.05</f>
        <v>1.0499999999999998</v>
      </c>
      <c r="H2" s="135">
        <f t="shared" si="0"/>
        <v>0.99999999999999978</v>
      </c>
      <c r="I2" s="135">
        <f t="shared" si="0"/>
        <v>0.94999999999999973</v>
      </c>
      <c r="J2" s="135">
        <f t="shared" si="0"/>
        <v>0.89999999999999969</v>
      </c>
      <c r="K2" s="135">
        <f t="shared" si="0"/>
        <v>0.84999999999999964</v>
      </c>
      <c r="L2" s="135">
        <f t="shared" si="0"/>
        <v>0.7999999999999996</v>
      </c>
      <c r="M2" s="135">
        <f t="shared" si="0"/>
        <v>0.74999999999999956</v>
      </c>
      <c r="N2" s="135">
        <f t="shared" si="0"/>
        <v>0.69999999999999951</v>
      </c>
      <c r="O2" s="135">
        <f t="shared" si="0"/>
        <v>0.64999999999999947</v>
      </c>
      <c r="P2" s="135">
        <f t="shared" si="0"/>
        <v>0.59999999999999942</v>
      </c>
      <c r="Q2" s="135">
        <f t="shared" si="0"/>
        <v>0.54999999999999938</v>
      </c>
      <c r="R2" s="103"/>
    </row>
    <row r="3" spans="1:18" x14ac:dyDescent="0.25">
      <c r="A3" s="132">
        <f t="shared" ref="A3:A68" si="1">A2+1</f>
        <v>3</v>
      </c>
      <c r="B3" s="56" t="s">
        <v>14</v>
      </c>
      <c r="C3" s="108">
        <v>128</v>
      </c>
      <c r="D3" s="28">
        <v>128</v>
      </c>
      <c r="E3" s="77">
        <f>D3</f>
        <v>128</v>
      </c>
      <c r="F3" s="77">
        <f t="shared" ref="F3:Q4" si="2">E3</f>
        <v>128</v>
      </c>
      <c r="G3" s="77">
        <f t="shared" si="2"/>
        <v>128</v>
      </c>
      <c r="H3" s="77">
        <f t="shared" si="2"/>
        <v>128</v>
      </c>
      <c r="I3" s="77">
        <f t="shared" si="2"/>
        <v>128</v>
      </c>
      <c r="J3" s="77">
        <f t="shared" si="2"/>
        <v>128</v>
      </c>
      <c r="K3" s="77">
        <f t="shared" si="2"/>
        <v>128</v>
      </c>
      <c r="L3" s="77">
        <f t="shared" si="2"/>
        <v>128</v>
      </c>
      <c r="M3" s="77">
        <f t="shared" si="2"/>
        <v>128</v>
      </c>
      <c r="N3" s="77">
        <f t="shared" si="2"/>
        <v>128</v>
      </c>
      <c r="O3" s="77">
        <f t="shared" si="2"/>
        <v>128</v>
      </c>
      <c r="P3" s="77">
        <f t="shared" si="2"/>
        <v>128</v>
      </c>
      <c r="Q3" s="77">
        <f t="shared" si="2"/>
        <v>128</v>
      </c>
      <c r="R3" s="103"/>
    </row>
    <row r="4" spans="1:18" x14ac:dyDescent="0.25">
      <c r="A4" s="132">
        <f t="shared" si="1"/>
        <v>4</v>
      </c>
      <c r="B4" s="57" t="s">
        <v>3</v>
      </c>
      <c r="C4" s="212" t="s">
        <v>15</v>
      </c>
      <c r="D4" s="211" t="s">
        <v>15</v>
      </c>
      <c r="E4" s="77" t="str">
        <f>D4</f>
        <v>AMC 2x3</v>
      </c>
      <c r="F4" s="77" t="str">
        <f t="shared" si="2"/>
        <v>AMC 2x3</v>
      </c>
      <c r="G4" s="77" t="str">
        <f t="shared" si="2"/>
        <v>AMC 2x3</v>
      </c>
      <c r="H4" s="77" t="str">
        <f t="shared" si="2"/>
        <v>AMC 2x3</v>
      </c>
      <c r="I4" s="77" t="str">
        <f t="shared" si="2"/>
        <v>AMC 2x3</v>
      </c>
      <c r="J4" s="77" t="str">
        <f t="shared" si="2"/>
        <v>AMC 2x3</v>
      </c>
      <c r="K4" s="77" t="str">
        <f>J4</f>
        <v>AMC 2x3</v>
      </c>
      <c r="L4" s="77" t="str">
        <f t="shared" si="2"/>
        <v>AMC 2x3</v>
      </c>
      <c r="M4" s="77" t="str">
        <f t="shared" si="2"/>
        <v>AMC 2x3</v>
      </c>
      <c r="N4" s="77" t="str">
        <f t="shared" si="2"/>
        <v>AMC 2x3</v>
      </c>
      <c r="O4" s="77" t="str">
        <f t="shared" si="2"/>
        <v>AMC 2x3</v>
      </c>
      <c r="P4" s="77" t="str">
        <f t="shared" si="2"/>
        <v>AMC 2x3</v>
      </c>
      <c r="Q4" s="77" t="str">
        <f t="shared" si="2"/>
        <v>AMC 2x3</v>
      </c>
      <c r="R4" s="103"/>
    </row>
    <row r="5" spans="1:18" x14ac:dyDescent="0.25">
      <c r="A5" s="132">
        <f t="shared" si="1"/>
        <v>5</v>
      </c>
      <c r="B5" s="58" t="s">
        <v>4</v>
      </c>
      <c r="C5" s="109">
        <v>1</v>
      </c>
      <c r="D5" s="18">
        <v>1</v>
      </c>
      <c r="E5" s="77">
        <v>1</v>
      </c>
      <c r="F5" s="77">
        <v>1</v>
      </c>
      <c r="G5" s="77">
        <v>1</v>
      </c>
      <c r="H5" s="77">
        <v>1</v>
      </c>
      <c r="I5" s="77">
        <v>1</v>
      </c>
      <c r="J5" s="77">
        <v>1</v>
      </c>
      <c r="K5" s="77">
        <v>1</v>
      </c>
      <c r="L5" s="77">
        <v>1</v>
      </c>
      <c r="M5" s="77">
        <v>1</v>
      </c>
      <c r="N5" s="77">
        <v>1</v>
      </c>
      <c r="O5" s="77">
        <v>1</v>
      </c>
      <c r="P5" s="77">
        <v>1</v>
      </c>
      <c r="Q5" s="77">
        <v>1</v>
      </c>
      <c r="R5" s="103"/>
    </row>
    <row r="6" spans="1:18" x14ac:dyDescent="0.25">
      <c r="A6" s="132">
        <f t="shared" si="1"/>
        <v>6</v>
      </c>
      <c r="B6" s="58" t="s">
        <v>5</v>
      </c>
      <c r="C6" s="109">
        <v>10</v>
      </c>
      <c r="D6" s="18">
        <v>10</v>
      </c>
      <c r="E6" s="77">
        <v>10</v>
      </c>
      <c r="F6" s="77">
        <v>10</v>
      </c>
      <c r="G6" s="77">
        <v>10</v>
      </c>
      <c r="H6" s="77">
        <v>10</v>
      </c>
      <c r="I6" s="77">
        <v>10</v>
      </c>
      <c r="J6" s="77">
        <v>10</v>
      </c>
      <c r="K6" s="77">
        <v>10</v>
      </c>
      <c r="L6" s="77">
        <v>10</v>
      </c>
      <c r="M6" s="77">
        <v>10</v>
      </c>
      <c r="N6" s="77">
        <v>10</v>
      </c>
      <c r="O6" s="77">
        <v>10</v>
      </c>
      <c r="P6" s="77">
        <v>10</v>
      </c>
      <c r="Q6" s="77">
        <v>10</v>
      </c>
      <c r="R6" s="103"/>
    </row>
    <row r="7" spans="1:18" x14ac:dyDescent="0.25">
      <c r="A7" s="132">
        <f t="shared" si="1"/>
        <v>7</v>
      </c>
      <c r="B7" s="58" t="s">
        <v>6</v>
      </c>
      <c r="C7" s="109">
        <v>9</v>
      </c>
      <c r="D7" s="18">
        <v>9</v>
      </c>
      <c r="E7" s="77">
        <v>9</v>
      </c>
      <c r="F7" s="77">
        <v>9</v>
      </c>
      <c r="G7" s="77">
        <v>9</v>
      </c>
      <c r="H7" s="77">
        <v>9</v>
      </c>
      <c r="I7" s="77">
        <v>9</v>
      </c>
      <c r="J7" s="77">
        <v>9</v>
      </c>
      <c r="K7" s="77">
        <v>9</v>
      </c>
      <c r="L7" s="77">
        <v>9</v>
      </c>
      <c r="M7" s="77">
        <v>9</v>
      </c>
      <c r="N7" s="77">
        <v>9</v>
      </c>
      <c r="O7" s="77">
        <v>9</v>
      </c>
      <c r="P7" s="77">
        <v>9</v>
      </c>
      <c r="Q7" s="77">
        <v>9</v>
      </c>
      <c r="R7" s="103"/>
    </row>
    <row r="8" spans="1:18" x14ac:dyDescent="0.25">
      <c r="A8" s="132">
        <f t="shared" si="1"/>
        <v>8</v>
      </c>
      <c r="B8" s="58" t="s">
        <v>109</v>
      </c>
      <c r="C8" s="110">
        <v>1</v>
      </c>
      <c r="D8" s="19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103"/>
    </row>
    <row r="9" spans="1:18" x14ac:dyDescent="0.25">
      <c r="A9" s="132">
        <f t="shared" si="1"/>
        <v>9</v>
      </c>
      <c r="B9" s="58" t="s">
        <v>24</v>
      </c>
      <c r="C9" s="109">
        <f>C8*(C3-C5-C6-C7)</f>
        <v>108</v>
      </c>
      <c r="D9" s="18">
        <f>D8*(D3-D5-D6-D7)</f>
        <v>108</v>
      </c>
      <c r="E9" s="77">
        <f t="shared" ref="E9:P9" si="3">E8*(E3-E5-E6-E7)</f>
        <v>108</v>
      </c>
      <c r="F9" s="77">
        <f t="shared" si="3"/>
        <v>108</v>
      </c>
      <c r="G9" s="77">
        <f t="shared" si="3"/>
        <v>108</v>
      </c>
      <c r="H9" s="77">
        <f t="shared" si="3"/>
        <v>108</v>
      </c>
      <c r="I9" s="77">
        <f t="shared" si="3"/>
        <v>108</v>
      </c>
      <c r="J9" s="77">
        <f t="shared" si="3"/>
        <v>108</v>
      </c>
      <c r="K9" s="77">
        <f t="shared" si="3"/>
        <v>108</v>
      </c>
      <c r="L9" s="77">
        <f t="shared" si="3"/>
        <v>108</v>
      </c>
      <c r="M9" s="77">
        <f t="shared" si="3"/>
        <v>108</v>
      </c>
      <c r="N9" s="77">
        <f t="shared" si="3"/>
        <v>108</v>
      </c>
      <c r="O9" s="77">
        <f t="shared" si="3"/>
        <v>108</v>
      </c>
      <c r="P9" s="77">
        <f t="shared" si="3"/>
        <v>108</v>
      </c>
      <c r="Q9" s="77">
        <f>Q8*(Q3-Q5-Q6-Q7)</f>
        <v>108</v>
      </c>
      <c r="R9" s="103"/>
    </row>
    <row r="10" spans="1:18" x14ac:dyDescent="0.25">
      <c r="A10" s="132">
        <f t="shared" si="1"/>
        <v>10</v>
      </c>
      <c r="B10" s="58" t="s">
        <v>8</v>
      </c>
      <c r="C10" s="109">
        <f>C9/9</f>
        <v>12</v>
      </c>
      <c r="D10" s="18">
        <f>D9/9</f>
        <v>12</v>
      </c>
      <c r="E10" s="77">
        <f t="shared" ref="E10:P10" si="4">E9/9</f>
        <v>12</v>
      </c>
      <c r="F10" s="77">
        <f t="shared" si="4"/>
        <v>12</v>
      </c>
      <c r="G10" s="77">
        <f t="shared" si="4"/>
        <v>12</v>
      </c>
      <c r="H10" s="77">
        <f t="shared" si="4"/>
        <v>12</v>
      </c>
      <c r="I10" s="77">
        <f t="shared" si="4"/>
        <v>12</v>
      </c>
      <c r="J10" s="77">
        <f t="shared" si="4"/>
        <v>12</v>
      </c>
      <c r="K10" s="77">
        <f t="shared" si="4"/>
        <v>12</v>
      </c>
      <c r="L10" s="77">
        <f t="shared" si="4"/>
        <v>12</v>
      </c>
      <c r="M10" s="77">
        <f t="shared" si="4"/>
        <v>12</v>
      </c>
      <c r="N10" s="77">
        <f t="shared" si="4"/>
        <v>12</v>
      </c>
      <c r="O10" s="77">
        <f t="shared" si="4"/>
        <v>12</v>
      </c>
      <c r="P10" s="77">
        <f t="shared" si="4"/>
        <v>12</v>
      </c>
      <c r="Q10" s="77">
        <f>Q9/9</f>
        <v>12</v>
      </c>
      <c r="R10" s="103"/>
    </row>
    <row r="11" spans="1:18" x14ac:dyDescent="0.25">
      <c r="A11" s="132">
        <f t="shared" si="1"/>
        <v>11</v>
      </c>
      <c r="B11" s="58" t="s">
        <v>9</v>
      </c>
      <c r="C11" s="109">
        <f>C9-C10</f>
        <v>96</v>
      </c>
      <c r="D11" s="18">
        <f>D9-D10</f>
        <v>96</v>
      </c>
      <c r="E11" s="77">
        <f t="shared" ref="E11:P11" si="5">E9-E10</f>
        <v>96</v>
      </c>
      <c r="F11" s="77">
        <f t="shared" si="5"/>
        <v>96</v>
      </c>
      <c r="G11" s="77">
        <f t="shared" si="5"/>
        <v>96</v>
      </c>
      <c r="H11" s="77">
        <f t="shared" si="5"/>
        <v>96</v>
      </c>
      <c r="I11" s="77">
        <f t="shared" si="5"/>
        <v>96</v>
      </c>
      <c r="J11" s="77">
        <f t="shared" si="5"/>
        <v>96</v>
      </c>
      <c r="K11" s="77">
        <f t="shared" si="5"/>
        <v>96</v>
      </c>
      <c r="L11" s="77">
        <f t="shared" si="5"/>
        <v>96</v>
      </c>
      <c r="M11" s="77">
        <f t="shared" si="5"/>
        <v>96</v>
      </c>
      <c r="N11" s="77">
        <f t="shared" si="5"/>
        <v>96</v>
      </c>
      <c r="O11" s="77">
        <f t="shared" si="5"/>
        <v>96</v>
      </c>
      <c r="P11" s="77">
        <f t="shared" si="5"/>
        <v>96</v>
      </c>
      <c r="Q11" s="77">
        <f>Q9-Q10</f>
        <v>96</v>
      </c>
      <c r="R11" s="103"/>
    </row>
    <row r="12" spans="1:18" x14ac:dyDescent="0.25">
      <c r="A12" s="132">
        <f t="shared" si="1"/>
        <v>12</v>
      </c>
      <c r="B12" s="59" t="s">
        <v>77</v>
      </c>
      <c r="C12" s="318">
        <f>ROUNDDOWN(IF(C4="AMC 2x3",6,IF(C4="AMC 1x6",12,IF(C4="AMC 1x3",12,0)))*C8,0)</f>
        <v>6</v>
      </c>
      <c r="D12" s="319">
        <f>ROUNDDOWN(IF(D4="AMC 2x3",6,IF(D4="AMC 1x6",12,IF(D4="AMC 1x3",12,0)))*D8,0)</f>
        <v>6</v>
      </c>
      <c r="E12" s="76">
        <f t="shared" ref="E12:Q12" si="6">ROUNDDOWN(IF(E4="AMC 2x3",6,IF(E4="AMC 1x6",12,IF(E4="AMC 1x3",12,0)))*E8,0)</f>
        <v>6</v>
      </c>
      <c r="F12" s="76">
        <f>ROUNDDOWN(IF(F4="AMC 2x3",6,IF(F4="AMC 1x6",12,IF(F4="AMC 1x3",12,0)))*F8,0)</f>
        <v>6</v>
      </c>
      <c r="G12" s="76">
        <f t="shared" si="6"/>
        <v>6</v>
      </c>
      <c r="H12" s="76">
        <f t="shared" si="6"/>
        <v>6</v>
      </c>
      <c r="I12" s="76">
        <f t="shared" si="6"/>
        <v>6</v>
      </c>
      <c r="J12" s="76">
        <f t="shared" si="6"/>
        <v>6</v>
      </c>
      <c r="K12" s="76">
        <f t="shared" si="6"/>
        <v>6</v>
      </c>
      <c r="L12" s="76">
        <f t="shared" si="6"/>
        <v>6</v>
      </c>
      <c r="M12" s="76">
        <f t="shared" si="6"/>
        <v>6</v>
      </c>
      <c r="N12" s="76">
        <f t="shared" si="6"/>
        <v>6</v>
      </c>
      <c r="O12" s="76">
        <f t="shared" si="6"/>
        <v>6</v>
      </c>
      <c r="P12" s="76">
        <f t="shared" si="6"/>
        <v>6</v>
      </c>
      <c r="Q12" s="76">
        <f t="shared" si="6"/>
        <v>6</v>
      </c>
      <c r="R12" s="103"/>
    </row>
    <row r="13" spans="1:18" x14ac:dyDescent="0.25">
      <c r="A13" s="132">
        <f t="shared" si="1"/>
        <v>13</v>
      </c>
      <c r="B13" s="58" t="s">
        <v>10</v>
      </c>
      <c r="C13" s="109">
        <f>C11/C12</f>
        <v>16</v>
      </c>
      <c r="D13" s="18">
        <f>D11/D12</f>
        <v>16</v>
      </c>
      <c r="E13" s="77">
        <f t="shared" ref="E13:P13" si="7">E11/E12</f>
        <v>16</v>
      </c>
      <c r="F13" s="77">
        <f t="shared" si="7"/>
        <v>16</v>
      </c>
      <c r="G13" s="77">
        <f t="shared" si="7"/>
        <v>16</v>
      </c>
      <c r="H13" s="77">
        <f t="shared" si="7"/>
        <v>16</v>
      </c>
      <c r="I13" s="77">
        <f t="shared" si="7"/>
        <v>16</v>
      </c>
      <c r="J13" s="77">
        <f t="shared" si="7"/>
        <v>16</v>
      </c>
      <c r="K13" s="77">
        <f t="shared" si="7"/>
        <v>16</v>
      </c>
      <c r="L13" s="77">
        <f t="shared" si="7"/>
        <v>16</v>
      </c>
      <c r="M13" s="77">
        <f t="shared" si="7"/>
        <v>16</v>
      </c>
      <c r="N13" s="77">
        <f t="shared" si="7"/>
        <v>16</v>
      </c>
      <c r="O13" s="77">
        <f t="shared" si="7"/>
        <v>16</v>
      </c>
      <c r="P13" s="77">
        <f t="shared" si="7"/>
        <v>16</v>
      </c>
      <c r="Q13" s="77">
        <f>Q11/Q12</f>
        <v>16</v>
      </c>
      <c r="R13" s="103"/>
    </row>
    <row r="14" spans="1:18" x14ac:dyDescent="0.25">
      <c r="A14" s="132">
        <f t="shared" si="1"/>
        <v>14</v>
      </c>
      <c r="B14" s="58" t="s">
        <v>11</v>
      </c>
      <c r="C14" s="109">
        <f>C10/C12</f>
        <v>2</v>
      </c>
      <c r="D14" s="18">
        <f>D10/D12</f>
        <v>2</v>
      </c>
      <c r="E14" s="77">
        <f t="shared" ref="E14:P14" si="8">E10/E12</f>
        <v>2</v>
      </c>
      <c r="F14" s="77">
        <f t="shared" si="8"/>
        <v>2</v>
      </c>
      <c r="G14" s="77">
        <f t="shared" si="8"/>
        <v>2</v>
      </c>
      <c r="H14" s="77">
        <f t="shared" si="8"/>
        <v>2</v>
      </c>
      <c r="I14" s="77">
        <f t="shared" si="8"/>
        <v>2</v>
      </c>
      <c r="J14" s="77">
        <f t="shared" si="8"/>
        <v>2</v>
      </c>
      <c r="K14" s="77">
        <f t="shared" si="8"/>
        <v>2</v>
      </c>
      <c r="L14" s="77">
        <f t="shared" si="8"/>
        <v>2</v>
      </c>
      <c r="M14" s="77">
        <f t="shared" si="8"/>
        <v>2</v>
      </c>
      <c r="N14" s="77">
        <f t="shared" si="8"/>
        <v>2</v>
      </c>
      <c r="O14" s="77">
        <f t="shared" si="8"/>
        <v>2</v>
      </c>
      <c r="P14" s="77">
        <f t="shared" si="8"/>
        <v>2</v>
      </c>
      <c r="Q14" s="77">
        <f>Q10/Q12</f>
        <v>2</v>
      </c>
      <c r="R14" s="103"/>
    </row>
    <row r="15" spans="1:18" x14ac:dyDescent="0.25">
      <c r="A15" s="132">
        <f t="shared" si="1"/>
        <v>15</v>
      </c>
      <c r="B15" s="58" t="s">
        <v>0</v>
      </c>
      <c r="C15" s="111" t="s">
        <v>13</v>
      </c>
      <c r="D15" s="20" t="s">
        <v>13</v>
      </c>
      <c r="E15" s="11" t="s">
        <v>13</v>
      </c>
      <c r="F15" s="11" t="s">
        <v>13</v>
      </c>
      <c r="G15" s="11" t="s">
        <v>13</v>
      </c>
      <c r="H15" s="11" t="s">
        <v>13</v>
      </c>
      <c r="I15" s="11" t="s">
        <v>13</v>
      </c>
      <c r="J15" s="11" t="s">
        <v>13</v>
      </c>
      <c r="K15" s="11" t="s">
        <v>13</v>
      </c>
      <c r="L15" s="11" t="s">
        <v>13</v>
      </c>
      <c r="M15" s="11" t="s">
        <v>13</v>
      </c>
      <c r="N15" s="11" t="s">
        <v>13</v>
      </c>
      <c r="O15" s="11" t="s">
        <v>13</v>
      </c>
      <c r="P15" s="11" t="s">
        <v>13</v>
      </c>
      <c r="Q15" s="11" t="s">
        <v>13</v>
      </c>
      <c r="R15" s="103"/>
    </row>
    <row r="16" spans="1:18" x14ac:dyDescent="0.25">
      <c r="A16" s="132">
        <f t="shared" si="1"/>
        <v>16</v>
      </c>
      <c r="B16" s="58" t="s">
        <v>23</v>
      </c>
      <c r="C16" s="111">
        <f>C2*(IF(C15="28/25",28/25,IF(C15="11/5",11/5,IF(C15="82/25",82/25,IF(C15="109/25",109/25)))))</f>
        <v>1.4000000000000001</v>
      </c>
      <c r="D16" s="20">
        <f>D2*(IF(D15="28/25",28/25,IF(D15="11/5",11/5,IF(D15="82/25",82/25,IF(D15="109/25",109/25)))))</f>
        <v>1.3440000000000001</v>
      </c>
      <c r="E16" s="11">
        <f t="shared" ref="E16:P16" si="9">E2*(IF(E15="28/25",28/25,IF(E15="11/5",11/5,IF(E15="82/25",82/25,IF(E15="109/25",109/25)))))</f>
        <v>1.288</v>
      </c>
      <c r="F16" s="11">
        <f t="shared" si="9"/>
        <v>1.232</v>
      </c>
      <c r="G16" s="11">
        <f t="shared" si="9"/>
        <v>1.1759999999999999</v>
      </c>
      <c r="H16" s="11">
        <f t="shared" si="9"/>
        <v>1.1199999999999999</v>
      </c>
      <c r="I16" s="11">
        <f t="shared" si="9"/>
        <v>1.0639999999999998</v>
      </c>
      <c r="J16" s="11">
        <f t="shared" si="9"/>
        <v>1.0079999999999998</v>
      </c>
      <c r="K16" s="11">
        <f t="shared" si="9"/>
        <v>0.95199999999999974</v>
      </c>
      <c r="L16" s="11">
        <f t="shared" si="9"/>
        <v>0.89599999999999969</v>
      </c>
      <c r="M16" s="11">
        <f t="shared" si="9"/>
        <v>0.83999999999999964</v>
      </c>
      <c r="N16" s="11">
        <f t="shared" si="9"/>
        <v>0.78399999999999948</v>
      </c>
      <c r="O16" s="11">
        <f t="shared" si="9"/>
        <v>0.72799999999999943</v>
      </c>
      <c r="P16" s="11">
        <f t="shared" si="9"/>
        <v>0.67199999999999938</v>
      </c>
      <c r="Q16" s="11">
        <f>Q2*(IF(Q15="28/25",28/25,IF(Q15="11/5",11/5,IF(Q15="82/25",82/25,IF(Q15="109/25",109/25)))))</f>
        <v>0.61599999999999933</v>
      </c>
      <c r="R16" s="103"/>
    </row>
    <row r="17" spans="1:18" x14ac:dyDescent="0.25">
      <c r="A17" s="132">
        <f t="shared" si="1"/>
        <v>17</v>
      </c>
      <c r="B17" s="58" t="s">
        <v>12</v>
      </c>
      <c r="C17" s="112">
        <f>1000*C16/C3</f>
        <v>10.937500000000002</v>
      </c>
      <c r="D17" s="21">
        <f>1000*D16/D3</f>
        <v>10.5</v>
      </c>
      <c r="E17" s="12">
        <f t="shared" ref="E17:P17" si="10">1000*E16/E3</f>
        <v>10.0625</v>
      </c>
      <c r="F17" s="12">
        <f t="shared" si="10"/>
        <v>9.625</v>
      </c>
      <c r="G17" s="12">
        <f t="shared" si="10"/>
        <v>9.1875</v>
      </c>
      <c r="H17" s="12">
        <f t="shared" si="10"/>
        <v>8.7499999999999982</v>
      </c>
      <c r="I17" s="12">
        <f t="shared" si="10"/>
        <v>8.3124999999999982</v>
      </c>
      <c r="J17" s="12">
        <f t="shared" si="10"/>
        <v>7.8749999999999982</v>
      </c>
      <c r="K17" s="12">
        <f t="shared" si="10"/>
        <v>7.4374999999999982</v>
      </c>
      <c r="L17" s="12">
        <f t="shared" si="10"/>
        <v>6.9999999999999973</v>
      </c>
      <c r="M17" s="12">
        <f t="shared" si="10"/>
        <v>6.5624999999999973</v>
      </c>
      <c r="N17" s="12">
        <f t="shared" si="10"/>
        <v>6.1249999999999956</v>
      </c>
      <c r="O17" s="12">
        <f t="shared" si="10"/>
        <v>5.6874999999999956</v>
      </c>
      <c r="P17" s="12">
        <f t="shared" si="10"/>
        <v>5.2499999999999956</v>
      </c>
      <c r="Q17" s="12">
        <f>1000*Q16/Q3</f>
        <v>4.8124999999999947</v>
      </c>
      <c r="R17" s="103"/>
    </row>
    <row r="18" spans="1:18" x14ac:dyDescent="0.25">
      <c r="A18" s="132">
        <f t="shared" si="1"/>
        <v>18</v>
      </c>
      <c r="B18" s="58" t="s">
        <v>25</v>
      </c>
      <c r="C18" s="111">
        <f>(C9+1)*C17/1000</f>
        <v>1.1921875000000002</v>
      </c>
      <c r="D18" s="20">
        <f>(D9+1)*D17/1000</f>
        <v>1.1445000000000001</v>
      </c>
      <c r="E18" s="11">
        <f t="shared" ref="E18:P18" si="11">(E9+1)*E17/1000</f>
        <v>1.0968125</v>
      </c>
      <c r="F18" s="11">
        <f t="shared" si="11"/>
        <v>1.0491250000000001</v>
      </c>
      <c r="G18" s="11">
        <f t="shared" si="11"/>
        <v>1.0014375</v>
      </c>
      <c r="H18" s="11">
        <f t="shared" si="11"/>
        <v>0.95374999999999976</v>
      </c>
      <c r="I18" s="11">
        <f t="shared" si="11"/>
        <v>0.90606249999999977</v>
      </c>
      <c r="J18" s="11">
        <f t="shared" si="11"/>
        <v>0.85837499999999978</v>
      </c>
      <c r="K18" s="11">
        <f t="shared" si="11"/>
        <v>0.81068749999999978</v>
      </c>
      <c r="L18" s="11">
        <f t="shared" si="11"/>
        <v>0.76299999999999968</v>
      </c>
      <c r="M18" s="11">
        <f t="shared" si="11"/>
        <v>0.71531249999999968</v>
      </c>
      <c r="N18" s="11">
        <f t="shared" si="11"/>
        <v>0.66762499999999958</v>
      </c>
      <c r="O18" s="11">
        <f t="shared" si="11"/>
        <v>0.61993749999999959</v>
      </c>
      <c r="P18" s="11">
        <f t="shared" si="11"/>
        <v>0.57224999999999959</v>
      </c>
      <c r="Q18" s="11">
        <f>(Q9+1)*Q17/1000</f>
        <v>0.52456249999999938</v>
      </c>
      <c r="R18" s="103"/>
    </row>
    <row r="19" spans="1:18" x14ac:dyDescent="0.25">
      <c r="A19" s="132">
        <f t="shared" si="1"/>
        <v>19</v>
      </c>
      <c r="B19" s="58" t="s">
        <v>26</v>
      </c>
      <c r="C19" s="113">
        <f>C18/C2</f>
        <v>0.9537500000000001</v>
      </c>
      <c r="D19" s="22">
        <f>D18/D2</f>
        <v>0.9537500000000001</v>
      </c>
      <c r="E19" s="80">
        <f t="shared" ref="E19:P19" si="12">E18/E2</f>
        <v>0.9537500000000001</v>
      </c>
      <c r="F19" s="80">
        <f t="shared" si="12"/>
        <v>0.95375000000000021</v>
      </c>
      <c r="G19" s="80">
        <f t="shared" si="12"/>
        <v>0.9537500000000001</v>
      </c>
      <c r="H19" s="80">
        <f t="shared" si="12"/>
        <v>0.95374999999999999</v>
      </c>
      <c r="I19" s="80">
        <f t="shared" si="12"/>
        <v>0.95374999999999999</v>
      </c>
      <c r="J19" s="80">
        <f t="shared" si="12"/>
        <v>0.9537500000000001</v>
      </c>
      <c r="K19" s="80">
        <f t="shared" si="12"/>
        <v>0.9537500000000001</v>
      </c>
      <c r="L19" s="80">
        <f t="shared" si="12"/>
        <v>0.9537500000000001</v>
      </c>
      <c r="M19" s="80">
        <f t="shared" si="12"/>
        <v>0.9537500000000001</v>
      </c>
      <c r="N19" s="80">
        <f t="shared" si="12"/>
        <v>0.9537500000000001</v>
      </c>
      <c r="O19" s="80">
        <f t="shared" si="12"/>
        <v>0.9537500000000001</v>
      </c>
      <c r="P19" s="80">
        <f t="shared" si="12"/>
        <v>0.95375000000000021</v>
      </c>
      <c r="Q19" s="80">
        <f>Q18/Q2</f>
        <v>0.95374999999999999</v>
      </c>
      <c r="R19" s="103"/>
    </row>
    <row r="20" spans="1:18" x14ac:dyDescent="0.25">
      <c r="A20" s="132">
        <f t="shared" si="1"/>
        <v>20</v>
      </c>
      <c r="B20" s="58" t="s">
        <v>37</v>
      </c>
      <c r="C20" s="114">
        <f>(C13+C14)*C17/1000</f>
        <v>0.19687500000000002</v>
      </c>
      <c r="D20" s="23">
        <f>(D13+D14)*D17/1000</f>
        <v>0.189</v>
      </c>
      <c r="E20" s="16">
        <f t="shared" ref="E20:Q20" si="13">(E13+E14)*E17/1000</f>
        <v>0.18112500000000001</v>
      </c>
      <c r="F20" s="16">
        <f t="shared" si="13"/>
        <v>0.17324999999999999</v>
      </c>
      <c r="G20" s="16">
        <f t="shared" si="13"/>
        <v>0.16537499999999999</v>
      </c>
      <c r="H20" s="16">
        <f t="shared" si="13"/>
        <v>0.15749999999999997</v>
      </c>
      <c r="I20" s="16">
        <f t="shared" si="13"/>
        <v>0.14962499999999998</v>
      </c>
      <c r="J20" s="16">
        <f t="shared" si="13"/>
        <v>0.14174999999999996</v>
      </c>
      <c r="K20" s="16">
        <f t="shared" si="13"/>
        <v>0.13387499999999997</v>
      </c>
      <c r="L20" s="16">
        <f t="shared" si="13"/>
        <v>0.12599999999999995</v>
      </c>
      <c r="M20" s="16">
        <f t="shared" si="13"/>
        <v>0.11812499999999995</v>
      </c>
      <c r="N20" s="16">
        <f t="shared" si="13"/>
        <v>0.11024999999999992</v>
      </c>
      <c r="O20" s="16">
        <f t="shared" si="13"/>
        <v>0.10237499999999991</v>
      </c>
      <c r="P20" s="16">
        <f t="shared" si="13"/>
        <v>9.4499999999999917E-2</v>
      </c>
      <c r="Q20" s="16">
        <f t="shared" si="13"/>
        <v>8.6624999999999897E-2</v>
      </c>
      <c r="R20" s="103"/>
    </row>
    <row r="21" spans="1:18" x14ac:dyDescent="0.25">
      <c r="A21" s="132">
        <f t="shared" si="1"/>
        <v>21</v>
      </c>
      <c r="B21" s="58" t="s">
        <v>27</v>
      </c>
      <c r="C21" s="115">
        <f>1000/C17</f>
        <v>91.428571428571416</v>
      </c>
      <c r="D21" s="24">
        <f>1000/D17</f>
        <v>95.238095238095241</v>
      </c>
      <c r="E21" s="2">
        <f t="shared" ref="E21:P21" si="14">1000/E17</f>
        <v>99.378881987577643</v>
      </c>
      <c r="F21" s="2">
        <f t="shared" si="14"/>
        <v>103.8961038961039</v>
      </c>
      <c r="G21" s="2">
        <f t="shared" si="14"/>
        <v>108.84353741496598</v>
      </c>
      <c r="H21" s="2">
        <f t="shared" si="14"/>
        <v>114.28571428571431</v>
      </c>
      <c r="I21" s="2">
        <f t="shared" si="14"/>
        <v>120.30075187969928</v>
      </c>
      <c r="J21" s="2">
        <f t="shared" si="14"/>
        <v>126.98412698412702</v>
      </c>
      <c r="K21" s="2">
        <f t="shared" si="14"/>
        <v>134.45378151260508</v>
      </c>
      <c r="L21" s="2">
        <f t="shared" si="14"/>
        <v>142.85714285714292</v>
      </c>
      <c r="M21" s="2">
        <f t="shared" si="14"/>
        <v>152.38095238095244</v>
      </c>
      <c r="N21" s="2">
        <f t="shared" si="14"/>
        <v>163.26530612244909</v>
      </c>
      <c r="O21" s="2">
        <f t="shared" si="14"/>
        <v>175.82417582417597</v>
      </c>
      <c r="P21" s="2">
        <f t="shared" si="14"/>
        <v>190.47619047619062</v>
      </c>
      <c r="Q21" s="2">
        <f>1000/Q17</f>
        <v>207.79220779220802</v>
      </c>
      <c r="R21" s="103"/>
    </row>
    <row r="22" spans="1:18" x14ac:dyDescent="0.25">
      <c r="A22" s="132">
        <f t="shared" si="1"/>
        <v>22</v>
      </c>
      <c r="B22" s="57" t="s">
        <v>28</v>
      </c>
      <c r="C22" s="213" t="s">
        <v>30</v>
      </c>
      <c r="D22" s="214" t="s">
        <v>30</v>
      </c>
      <c r="E22" s="14" t="str">
        <f>D22</f>
        <v>1/16</v>
      </c>
      <c r="F22" s="14" t="str">
        <f t="shared" ref="F22:Q22" si="15">E22</f>
        <v>1/16</v>
      </c>
      <c r="G22" s="14" t="str">
        <f t="shared" si="15"/>
        <v>1/16</v>
      </c>
      <c r="H22" s="14" t="str">
        <f t="shared" si="15"/>
        <v>1/16</v>
      </c>
      <c r="I22" s="14" t="str">
        <f t="shared" si="15"/>
        <v>1/16</v>
      </c>
      <c r="J22" s="14" t="str">
        <f t="shared" si="15"/>
        <v>1/16</v>
      </c>
      <c r="K22" s="14" t="str">
        <f t="shared" si="15"/>
        <v>1/16</v>
      </c>
      <c r="L22" s="14" t="str">
        <f t="shared" si="15"/>
        <v>1/16</v>
      </c>
      <c r="M22" s="14" t="str">
        <f t="shared" si="15"/>
        <v>1/16</v>
      </c>
      <c r="N22" s="14" t="str">
        <f t="shared" si="15"/>
        <v>1/16</v>
      </c>
      <c r="O22" s="14" t="str">
        <f t="shared" si="15"/>
        <v>1/16</v>
      </c>
      <c r="P22" s="14" t="str">
        <f t="shared" si="15"/>
        <v>1/16</v>
      </c>
      <c r="Q22" s="14" t="str">
        <f t="shared" si="15"/>
        <v>1/16</v>
      </c>
      <c r="R22" s="103"/>
    </row>
    <row r="23" spans="1:18" x14ac:dyDescent="0.25">
      <c r="A23" s="132">
        <f t="shared" si="1"/>
        <v>23</v>
      </c>
      <c r="B23" s="58" t="s">
        <v>32</v>
      </c>
      <c r="C23" s="115">
        <f>'1-SubGroup 4'!C21*(IF(C22="1/8",1/8,IF(C22="1/16",1/16,IF(C22="1/32",1/32))))</f>
        <v>5.7142857142857135</v>
      </c>
      <c r="D23" s="24">
        <f>'1-SubGroup 4'!D21*(IF(D22="1/8",1/8,IF(D22="1/16",1/16,IF(D22="1/32",1/32))))</f>
        <v>5.9523809523809526</v>
      </c>
      <c r="E23" s="2">
        <f>'1-SubGroup 4'!E21*(IF(E22="1/8",1/8,IF(E22="1/16",1/16,IF(E22="1/32",1/32))))</f>
        <v>6.2111801242236027</v>
      </c>
      <c r="F23" s="2">
        <f>'1-SubGroup 4'!F21*(IF(F22="1/8",1/8,IF(F22="1/16",1/16,IF(F22="1/32",1/32))))</f>
        <v>6.4935064935064934</v>
      </c>
      <c r="G23" s="2">
        <f>'1-SubGroup 4'!G21*(IF(G22="1/8",1/8,IF(G22="1/16",1/16,IF(G22="1/32",1/32))))</f>
        <v>6.8027210884353737</v>
      </c>
      <c r="H23" s="2">
        <f>'1-SubGroup 4'!H21*(IF(H22="1/8",1/8,IF(H22="1/16",1/16,IF(H22="1/32",1/32))))</f>
        <v>7.1428571428571441</v>
      </c>
      <c r="I23" s="2">
        <f>'1-SubGroup 4'!I21*(IF(I22="1/8",1/8,IF(I22="1/16",1/16,IF(I22="1/32",1/32))))</f>
        <v>7.5187969924812048</v>
      </c>
      <c r="J23" s="2">
        <f>'1-SubGroup 4'!J21*(IF(J22="1/8",1/8,IF(J22="1/16",1/16,IF(J22="1/32",1/32))))</f>
        <v>7.9365079365079385</v>
      </c>
      <c r="K23" s="2">
        <f>'1-SubGroup 4'!K21*(IF(K22="1/8",1/8,IF(K22="1/16",1/16,IF(K22="1/32",1/32))))</f>
        <v>8.4033613445378172</v>
      </c>
      <c r="L23" s="2">
        <f>'1-SubGroup 4'!L21*(IF(L22="1/8",1/8,IF(L22="1/16",1/16,IF(L22="1/32",1/32))))</f>
        <v>8.9285714285714324</v>
      </c>
      <c r="M23" s="2">
        <f>'1-SubGroup 4'!M21*(IF(M22="1/8",1/8,IF(M22="1/16",1/16,IF(M22="1/32",1/32))))</f>
        <v>9.5238095238095273</v>
      </c>
      <c r="N23" s="2">
        <f>'1-SubGroup 4'!N21*(IF(N22="1/8",1/8,IF(N22="1/16",1/16,IF(N22="1/32",1/32))))</f>
        <v>10.204081632653068</v>
      </c>
      <c r="O23" s="2">
        <f>'1-SubGroup 4'!O21*(IF(O22="1/8",1/8,IF(O22="1/16",1/16,IF(O22="1/32",1/32))))</f>
        <v>10.989010989010998</v>
      </c>
      <c r="P23" s="2">
        <f>'1-SubGroup 4'!P21*(IF(P22="1/8",1/8,IF(P22="1/16",1/16,IF(P22="1/32",1/32))))</f>
        <v>11.904761904761914</v>
      </c>
      <c r="Q23" s="2">
        <f>'1-SubGroup 4'!Q21*(IF(Q22="1/8",1/8,IF(Q22="1/16",1/16,IF(Q22="1/32",1/32))))</f>
        <v>12.987012987013001</v>
      </c>
      <c r="R23" s="103"/>
    </row>
    <row r="24" spans="1:18" x14ac:dyDescent="0.25">
      <c r="A24" s="132">
        <f t="shared" si="1"/>
        <v>24</v>
      </c>
      <c r="B24" s="58" t="s">
        <v>33</v>
      </c>
      <c r="C24" s="115">
        <f>C21+C23</f>
        <v>97.142857142857125</v>
      </c>
      <c r="D24" s="24">
        <f>D21+D23</f>
        <v>101.19047619047619</v>
      </c>
      <c r="E24" s="2">
        <f t="shared" ref="E24:P24" si="16">E21+E23</f>
        <v>105.59006211180125</v>
      </c>
      <c r="F24" s="2">
        <f t="shared" si="16"/>
        <v>110.38961038961038</v>
      </c>
      <c r="G24" s="2">
        <f t="shared" si="16"/>
        <v>115.64625850340136</v>
      </c>
      <c r="H24" s="2">
        <f t="shared" si="16"/>
        <v>121.42857142857144</v>
      </c>
      <c r="I24" s="2">
        <f t="shared" si="16"/>
        <v>127.81954887218048</v>
      </c>
      <c r="J24" s="2">
        <f t="shared" si="16"/>
        <v>134.92063492063497</v>
      </c>
      <c r="K24" s="2">
        <f t="shared" si="16"/>
        <v>142.85714285714289</v>
      </c>
      <c r="L24" s="2">
        <f t="shared" si="16"/>
        <v>151.78571428571436</v>
      </c>
      <c r="M24" s="2">
        <f t="shared" si="16"/>
        <v>161.90476190476195</v>
      </c>
      <c r="N24" s="2">
        <f t="shared" si="16"/>
        <v>173.46938775510216</v>
      </c>
      <c r="O24" s="2">
        <f t="shared" si="16"/>
        <v>186.81318681318697</v>
      </c>
      <c r="P24" s="2">
        <f t="shared" si="16"/>
        <v>202.38095238095255</v>
      </c>
      <c r="Q24" s="2">
        <f>Q21+Q23</f>
        <v>220.77922077922102</v>
      </c>
      <c r="R24" s="103"/>
    </row>
    <row r="25" spans="1:18" x14ac:dyDescent="0.25">
      <c r="A25" s="132">
        <f t="shared" si="1"/>
        <v>25</v>
      </c>
      <c r="B25" s="57" t="s">
        <v>97</v>
      </c>
      <c r="C25" s="215">
        <v>5</v>
      </c>
      <c r="D25" s="216">
        <v>5</v>
      </c>
      <c r="E25" s="3">
        <f>D25</f>
        <v>5</v>
      </c>
      <c r="F25" s="3">
        <f t="shared" ref="F25:Q25" si="17">E25</f>
        <v>5</v>
      </c>
      <c r="G25" s="3">
        <f t="shared" si="17"/>
        <v>5</v>
      </c>
      <c r="H25" s="3">
        <f t="shared" si="17"/>
        <v>5</v>
      </c>
      <c r="I25" s="3">
        <f t="shared" si="17"/>
        <v>5</v>
      </c>
      <c r="J25" s="3">
        <f t="shared" si="17"/>
        <v>5</v>
      </c>
      <c r="K25" s="3">
        <f t="shared" si="17"/>
        <v>5</v>
      </c>
      <c r="L25" s="3">
        <f t="shared" si="17"/>
        <v>5</v>
      </c>
      <c r="M25" s="3">
        <f t="shared" si="17"/>
        <v>5</v>
      </c>
      <c r="N25" s="3">
        <f t="shared" si="17"/>
        <v>5</v>
      </c>
      <c r="O25" s="3">
        <f t="shared" si="17"/>
        <v>5</v>
      </c>
      <c r="P25" s="3">
        <f t="shared" si="17"/>
        <v>5</v>
      </c>
      <c r="Q25" s="3">
        <f t="shared" si="17"/>
        <v>5</v>
      </c>
      <c r="R25" s="103"/>
    </row>
    <row r="26" spans="1:18" x14ac:dyDescent="0.25">
      <c r="A26" s="132">
        <f t="shared" si="1"/>
        <v>26</v>
      </c>
      <c r="B26" s="58" t="s">
        <v>35</v>
      </c>
      <c r="C26" s="116">
        <f>1000*1/C25</f>
        <v>200</v>
      </c>
      <c r="D26" s="25">
        <f>1000*1/D25</f>
        <v>200</v>
      </c>
      <c r="E26" s="6">
        <f t="shared" ref="E26:P26" si="18">1000*1/E25</f>
        <v>200</v>
      </c>
      <c r="F26" s="6">
        <f t="shared" si="18"/>
        <v>200</v>
      </c>
      <c r="G26" s="6">
        <f t="shared" si="18"/>
        <v>200</v>
      </c>
      <c r="H26" s="6">
        <f t="shared" si="18"/>
        <v>200</v>
      </c>
      <c r="I26" s="6">
        <f t="shared" si="18"/>
        <v>200</v>
      </c>
      <c r="J26" s="6">
        <f t="shared" si="18"/>
        <v>200</v>
      </c>
      <c r="K26" s="6">
        <f t="shared" si="18"/>
        <v>200</v>
      </c>
      <c r="L26" s="6">
        <f t="shared" si="18"/>
        <v>200</v>
      </c>
      <c r="M26" s="6">
        <f t="shared" si="18"/>
        <v>200</v>
      </c>
      <c r="N26" s="6">
        <f t="shared" si="18"/>
        <v>200</v>
      </c>
      <c r="O26" s="6">
        <f t="shared" si="18"/>
        <v>200</v>
      </c>
      <c r="P26" s="6">
        <f t="shared" si="18"/>
        <v>200</v>
      </c>
      <c r="Q26" s="6">
        <f>1000*1/Q25</f>
        <v>200</v>
      </c>
      <c r="R26" s="103"/>
    </row>
    <row r="27" spans="1:18" x14ac:dyDescent="0.25">
      <c r="A27" s="132">
        <f t="shared" si="1"/>
        <v>27</v>
      </c>
      <c r="B27" s="58" t="s">
        <v>34</v>
      </c>
      <c r="C27" s="116">
        <f>(10^3)*C16*C25</f>
        <v>7000.0000000000009</v>
      </c>
      <c r="D27" s="25">
        <f>(10^3)*D16*D25</f>
        <v>6720</v>
      </c>
      <c r="E27" s="6">
        <f t="shared" ref="E27:P27" si="19">(10^3)*E16*E25</f>
        <v>6440</v>
      </c>
      <c r="F27" s="6">
        <f t="shared" si="19"/>
        <v>6160</v>
      </c>
      <c r="G27" s="6">
        <f t="shared" si="19"/>
        <v>5880</v>
      </c>
      <c r="H27" s="6">
        <f t="shared" si="19"/>
        <v>5599.9999999999991</v>
      </c>
      <c r="I27" s="6">
        <f t="shared" si="19"/>
        <v>5319.9999999999991</v>
      </c>
      <c r="J27" s="6">
        <f t="shared" si="19"/>
        <v>5039.9999999999991</v>
      </c>
      <c r="K27" s="6">
        <f t="shared" si="19"/>
        <v>4759.9999999999991</v>
      </c>
      <c r="L27" s="6">
        <f t="shared" si="19"/>
        <v>4479.9999999999982</v>
      </c>
      <c r="M27" s="6">
        <f t="shared" si="19"/>
        <v>4199.9999999999982</v>
      </c>
      <c r="N27" s="6">
        <f t="shared" si="19"/>
        <v>3919.9999999999973</v>
      </c>
      <c r="O27" s="6">
        <f t="shared" si="19"/>
        <v>3639.9999999999973</v>
      </c>
      <c r="P27" s="6">
        <f t="shared" si="19"/>
        <v>3359.9999999999973</v>
      </c>
      <c r="Q27" s="6">
        <f>(10^3)*Q16*Q25</f>
        <v>3079.9999999999964</v>
      </c>
      <c r="R27" s="103"/>
    </row>
    <row r="28" spans="1:18" x14ac:dyDescent="0.25">
      <c r="A28" s="132">
        <f t="shared" si="1"/>
        <v>28</v>
      </c>
      <c r="B28" s="59" t="s">
        <v>83</v>
      </c>
      <c r="C28" s="117">
        <f>ROUNDDOWN(1000*C25/C24,0)</f>
        <v>51</v>
      </c>
      <c r="D28" s="53">
        <f>ROUNDDOWN(1000*D25/D24,0)</f>
        <v>49</v>
      </c>
      <c r="E28" s="47">
        <f t="shared" ref="E28:P28" si="20">ROUNDDOWN(1000*E25/E24,0)</f>
        <v>47</v>
      </c>
      <c r="F28" s="47">
        <f t="shared" si="20"/>
        <v>45</v>
      </c>
      <c r="G28" s="47">
        <f t="shared" si="20"/>
        <v>43</v>
      </c>
      <c r="H28" s="47">
        <f t="shared" si="20"/>
        <v>41</v>
      </c>
      <c r="I28" s="47">
        <f t="shared" si="20"/>
        <v>39</v>
      </c>
      <c r="J28" s="47">
        <f t="shared" si="20"/>
        <v>37</v>
      </c>
      <c r="K28" s="47">
        <f t="shared" si="20"/>
        <v>35</v>
      </c>
      <c r="L28" s="47">
        <f t="shared" si="20"/>
        <v>32</v>
      </c>
      <c r="M28" s="47">
        <f t="shared" si="20"/>
        <v>30</v>
      </c>
      <c r="N28" s="47">
        <f t="shared" si="20"/>
        <v>28</v>
      </c>
      <c r="O28" s="47">
        <f t="shared" si="20"/>
        <v>26</v>
      </c>
      <c r="P28" s="47">
        <f t="shared" si="20"/>
        <v>24</v>
      </c>
      <c r="Q28" s="47">
        <f>ROUNDDOWN(1000*Q25/Q24,0)</f>
        <v>22</v>
      </c>
      <c r="R28" s="103"/>
    </row>
    <row r="29" spans="1:18" x14ac:dyDescent="0.25">
      <c r="A29" s="132">
        <f t="shared" si="1"/>
        <v>29</v>
      </c>
      <c r="B29" s="106" t="s">
        <v>36</v>
      </c>
      <c r="C29" s="118">
        <v>1</v>
      </c>
      <c r="D29" s="45">
        <v>1</v>
      </c>
      <c r="E29" s="31">
        <v>1</v>
      </c>
      <c r="F29" s="31">
        <v>1</v>
      </c>
      <c r="G29" s="31">
        <v>1</v>
      </c>
      <c r="H29" s="31">
        <v>1</v>
      </c>
      <c r="I29" s="31">
        <v>1</v>
      </c>
      <c r="J29" s="31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31">
        <v>1</v>
      </c>
      <c r="R29" s="103"/>
    </row>
    <row r="30" spans="1:18" x14ac:dyDescent="0.25">
      <c r="A30" s="132">
        <f t="shared" si="1"/>
        <v>30</v>
      </c>
      <c r="B30" s="58" t="s">
        <v>79</v>
      </c>
      <c r="C30" s="119">
        <f>C28-C29</f>
        <v>50</v>
      </c>
      <c r="D30" s="44">
        <f>D28-D29</f>
        <v>48</v>
      </c>
      <c r="E30" s="33">
        <f t="shared" ref="E30:P30" si="21">E28-E29</f>
        <v>46</v>
      </c>
      <c r="F30" s="33">
        <f t="shared" si="21"/>
        <v>44</v>
      </c>
      <c r="G30" s="33">
        <f t="shared" si="21"/>
        <v>42</v>
      </c>
      <c r="H30" s="33">
        <f t="shared" si="21"/>
        <v>40</v>
      </c>
      <c r="I30" s="33">
        <f t="shared" si="21"/>
        <v>38</v>
      </c>
      <c r="J30" s="33">
        <f t="shared" si="21"/>
        <v>36</v>
      </c>
      <c r="K30" s="33">
        <f t="shared" si="21"/>
        <v>34</v>
      </c>
      <c r="L30" s="33">
        <f t="shared" si="21"/>
        <v>31</v>
      </c>
      <c r="M30" s="33">
        <f t="shared" si="21"/>
        <v>29</v>
      </c>
      <c r="N30" s="33">
        <f t="shared" si="21"/>
        <v>27</v>
      </c>
      <c r="O30" s="33">
        <f t="shared" si="21"/>
        <v>25</v>
      </c>
      <c r="P30" s="33">
        <f t="shared" si="21"/>
        <v>23</v>
      </c>
      <c r="Q30" s="33">
        <f>Q28-Q29</f>
        <v>21</v>
      </c>
      <c r="R30" s="103"/>
    </row>
    <row r="31" spans="1:18" x14ac:dyDescent="0.25">
      <c r="A31" s="132">
        <f t="shared" si="1"/>
        <v>31</v>
      </c>
      <c r="B31" s="56" t="s">
        <v>1</v>
      </c>
      <c r="C31" s="120">
        <f>1000*C25-(C28-C29)*C24</f>
        <v>142.85714285714403</v>
      </c>
      <c r="D31" s="26">
        <f>1000*D25-(D28-D29)*D24</f>
        <v>142.85714285714312</v>
      </c>
      <c r="E31" s="1">
        <f t="shared" ref="E31:P31" si="22">1000*E25-(E28-E29)*E24</f>
        <v>142.85714285714312</v>
      </c>
      <c r="F31" s="1">
        <f t="shared" si="22"/>
        <v>142.85714285714312</v>
      </c>
      <c r="G31" s="1">
        <f t="shared" si="22"/>
        <v>142.85714285714312</v>
      </c>
      <c r="H31" s="1">
        <f t="shared" si="22"/>
        <v>142.85714285714221</v>
      </c>
      <c r="I31" s="1">
        <f t="shared" si="22"/>
        <v>142.85714285714221</v>
      </c>
      <c r="J31" s="1">
        <f t="shared" si="22"/>
        <v>142.8571428571413</v>
      </c>
      <c r="K31" s="1">
        <f t="shared" si="22"/>
        <v>142.8571428571413</v>
      </c>
      <c r="L31" s="1">
        <f t="shared" si="22"/>
        <v>294.64285714285506</v>
      </c>
      <c r="M31" s="1">
        <f t="shared" si="22"/>
        <v>304.76190476190368</v>
      </c>
      <c r="N31" s="1">
        <f t="shared" si="22"/>
        <v>316.32653061224119</v>
      </c>
      <c r="O31" s="1">
        <f t="shared" si="22"/>
        <v>329.67032967032537</v>
      </c>
      <c r="P31" s="1">
        <f t="shared" si="22"/>
        <v>345.23809523809177</v>
      </c>
      <c r="Q31" s="1">
        <f>1000*Q25-(Q28-Q29)*Q24</f>
        <v>363.63636363635851</v>
      </c>
      <c r="R31" s="103"/>
    </row>
    <row r="32" spans="1:18" x14ac:dyDescent="0.25">
      <c r="A32" s="132">
        <f t="shared" si="1"/>
        <v>32</v>
      </c>
      <c r="B32" s="60" t="s">
        <v>38</v>
      </c>
      <c r="C32" s="121">
        <f>(1000*C25-(C28-C29)*C24)/(2*1.6093*3.3356)</f>
        <v>13.306412665033465</v>
      </c>
      <c r="D32" s="27">
        <f>(1000*D25-(D28-D29)*D24)/(2*1.6093*3.3356)</f>
        <v>13.306412665033379</v>
      </c>
      <c r="E32" s="15">
        <f t="shared" ref="E32:P32" si="23">(1000*E25-(E28-E29)*E24)/(2*1.6093*3.3356)</f>
        <v>13.306412665033379</v>
      </c>
      <c r="F32" s="15">
        <f t="shared" si="23"/>
        <v>13.306412665033379</v>
      </c>
      <c r="G32" s="15">
        <f t="shared" si="23"/>
        <v>13.306412665033379</v>
      </c>
      <c r="H32" s="15">
        <f t="shared" si="23"/>
        <v>13.306412665033296</v>
      </c>
      <c r="I32" s="15">
        <f t="shared" si="23"/>
        <v>13.306412665033296</v>
      </c>
      <c r="J32" s="15">
        <f t="shared" si="23"/>
        <v>13.306412665033211</v>
      </c>
      <c r="K32" s="15">
        <f t="shared" si="23"/>
        <v>13.306412665033211</v>
      </c>
      <c r="L32" s="15">
        <f t="shared" si="23"/>
        <v>27.444476121631102</v>
      </c>
      <c r="M32" s="15">
        <f t="shared" si="23"/>
        <v>28.387013685404391</v>
      </c>
      <c r="N32" s="15">
        <f t="shared" si="23"/>
        <v>29.464199472573512</v>
      </c>
      <c r="O32" s="15">
        <f t="shared" si="23"/>
        <v>30.707106150076573</v>
      </c>
      <c r="P32" s="15">
        <f t="shared" si="23"/>
        <v>32.15716394049695</v>
      </c>
      <c r="Q32" s="15">
        <f>(1000*Q25-(Q28-Q29)*Q24)/(2*1.6093*3.3356)</f>
        <v>33.870868601902608</v>
      </c>
      <c r="R32" s="103"/>
    </row>
    <row r="33" spans="1:18" x14ac:dyDescent="0.25">
      <c r="A33" s="132">
        <f t="shared" si="1"/>
        <v>33</v>
      </c>
      <c r="B33" s="60" t="s">
        <v>2</v>
      </c>
      <c r="C33" s="332">
        <f>ROUNDUP(((2*40*1609.34/299.79)+C28*C24-1000*C25)/C24,0)</f>
        <v>4</v>
      </c>
      <c r="D33" s="333">
        <f>ROUNDUP(((2*40*1609.34/299.79)+D28*D24-1000*D25)/D24,0)</f>
        <v>4</v>
      </c>
      <c r="E33" s="334">
        <f>ROUNDUP(((2*40*1609.34/299.79)+E28*E24-1000*E25)/E24,0)</f>
        <v>4</v>
      </c>
      <c r="F33" s="334">
        <f>ROUNDUP(((2*40*1609.34/299.79)+F28*F24-1000*F25)/F24,0)</f>
        <v>4</v>
      </c>
      <c r="G33" s="334">
        <f t="shared" ref="G33:M33" si="24">ROUNDUP(((2*40*1609.34/299.79)+G28*G24-1000*G25)/G24,0)</f>
        <v>4</v>
      </c>
      <c r="H33" s="334">
        <f t="shared" si="24"/>
        <v>4</v>
      </c>
      <c r="I33" s="334">
        <f t="shared" si="24"/>
        <v>4</v>
      </c>
      <c r="J33" s="334">
        <f t="shared" si="24"/>
        <v>4</v>
      </c>
      <c r="K33" s="334">
        <f t="shared" si="24"/>
        <v>4</v>
      </c>
      <c r="L33" s="334">
        <f t="shared" si="24"/>
        <v>2</v>
      </c>
      <c r="M33" s="334">
        <f t="shared" si="24"/>
        <v>2</v>
      </c>
      <c r="N33" s="33">
        <f t="shared" ref="N33:Q33" si="25">FLOOR((((40*1609.34)/150)/N24),1)</f>
        <v>2</v>
      </c>
      <c r="O33" s="33">
        <f t="shared" si="25"/>
        <v>2</v>
      </c>
      <c r="P33" s="33">
        <f t="shared" si="25"/>
        <v>2</v>
      </c>
      <c r="Q33" s="33">
        <f t="shared" si="25"/>
        <v>1</v>
      </c>
      <c r="R33" s="103"/>
    </row>
    <row r="34" spans="1:18" x14ac:dyDescent="0.25">
      <c r="A34" s="132">
        <f t="shared" si="1"/>
        <v>34</v>
      </c>
      <c r="B34" s="56" t="s">
        <v>45</v>
      </c>
      <c r="C34" s="122">
        <f>IF(C4="AMC 2x3",2,IF(C4="AMC 1x6",1,IF(C4="AMC 1x3",1)))</f>
        <v>2</v>
      </c>
      <c r="D34" s="43">
        <f>IF(D4="AMC 2x3",2,IF(D4="AMC 1x6",1,IF(D4="AMC 1x3",1)))</f>
        <v>2</v>
      </c>
      <c r="E34" s="34">
        <f>IF(E4="AMC 2x3",2,IF(E4="AMC 1x6",1,IF(E4="AMC 1x3",1)))</f>
        <v>2</v>
      </c>
      <c r="F34" s="34">
        <f t="shared" ref="F34:Q34" si="26">IF(F4="AMC 2x3",2,IF(F4="AMC 1x6",1,IF(F4="AMC 1x3",1)))</f>
        <v>2</v>
      </c>
      <c r="G34" s="34">
        <f t="shared" si="26"/>
        <v>2</v>
      </c>
      <c r="H34" s="34">
        <f t="shared" si="26"/>
        <v>2</v>
      </c>
      <c r="I34" s="34">
        <f t="shared" si="26"/>
        <v>2</v>
      </c>
      <c r="J34" s="34">
        <f t="shared" si="26"/>
        <v>2</v>
      </c>
      <c r="K34" s="34">
        <f t="shared" si="26"/>
        <v>2</v>
      </c>
      <c r="L34" s="34">
        <f t="shared" si="26"/>
        <v>2</v>
      </c>
      <c r="M34" s="34">
        <f t="shared" si="26"/>
        <v>2</v>
      </c>
      <c r="N34" s="34">
        <f t="shared" si="26"/>
        <v>2</v>
      </c>
      <c r="O34" s="34">
        <f t="shared" si="26"/>
        <v>2</v>
      </c>
      <c r="P34" s="34">
        <f t="shared" si="26"/>
        <v>2</v>
      </c>
      <c r="Q34" s="34">
        <f t="shared" si="26"/>
        <v>2</v>
      </c>
      <c r="R34" s="103"/>
    </row>
    <row r="35" spans="1:18" x14ac:dyDescent="0.25">
      <c r="A35" s="132">
        <f t="shared" si="1"/>
        <v>35</v>
      </c>
      <c r="B35" s="56" t="s">
        <v>46</v>
      </c>
      <c r="C35" s="119">
        <f>IF(C4="AMC 1x3",3,6/C34)</f>
        <v>3</v>
      </c>
      <c r="D35" s="44">
        <f>IF(D4="AMC 1x3",3,6/D34)</f>
        <v>3</v>
      </c>
      <c r="E35" s="33">
        <f>IF(E4="AMC 1x3",3,6/E34)</f>
        <v>3</v>
      </c>
      <c r="F35" s="33">
        <f t="shared" ref="F35:Q35" si="27">IF(F4="AMC 1x3",3,6/F34)</f>
        <v>3</v>
      </c>
      <c r="G35" s="33">
        <f t="shared" si="27"/>
        <v>3</v>
      </c>
      <c r="H35" s="33">
        <f t="shared" si="27"/>
        <v>3</v>
      </c>
      <c r="I35" s="33">
        <f t="shared" si="27"/>
        <v>3</v>
      </c>
      <c r="J35" s="33">
        <f t="shared" si="27"/>
        <v>3</v>
      </c>
      <c r="K35" s="33">
        <f t="shared" si="27"/>
        <v>3</v>
      </c>
      <c r="L35" s="33">
        <f t="shared" si="27"/>
        <v>3</v>
      </c>
      <c r="M35" s="33">
        <f t="shared" si="27"/>
        <v>3</v>
      </c>
      <c r="N35" s="33">
        <f t="shared" si="27"/>
        <v>3</v>
      </c>
      <c r="O35" s="33">
        <f t="shared" si="27"/>
        <v>3</v>
      </c>
      <c r="P35" s="33">
        <f t="shared" si="27"/>
        <v>3</v>
      </c>
      <c r="Q35" s="33">
        <f t="shared" si="27"/>
        <v>3</v>
      </c>
      <c r="R35" s="103"/>
    </row>
    <row r="36" spans="1:18" x14ac:dyDescent="0.25">
      <c r="A36" s="132">
        <f t="shared" si="1"/>
        <v>36</v>
      </c>
      <c r="B36" s="58" t="s">
        <v>48</v>
      </c>
      <c r="C36" s="118">
        <v>1</v>
      </c>
      <c r="D36" s="45">
        <v>1</v>
      </c>
      <c r="E36" s="31">
        <f>D36</f>
        <v>1</v>
      </c>
      <c r="F36" s="31">
        <f t="shared" ref="F36:Q36" si="28">E36</f>
        <v>1</v>
      </c>
      <c r="G36" s="31">
        <f t="shared" si="28"/>
        <v>1</v>
      </c>
      <c r="H36" s="31">
        <f t="shared" si="28"/>
        <v>1</v>
      </c>
      <c r="I36" s="31">
        <f t="shared" si="28"/>
        <v>1</v>
      </c>
      <c r="J36" s="31">
        <f t="shared" si="28"/>
        <v>1</v>
      </c>
      <c r="K36" s="31">
        <f t="shared" si="28"/>
        <v>1</v>
      </c>
      <c r="L36" s="31">
        <f t="shared" si="28"/>
        <v>1</v>
      </c>
      <c r="M36" s="31">
        <f t="shared" si="28"/>
        <v>1</v>
      </c>
      <c r="N36" s="31">
        <f t="shared" si="28"/>
        <v>1</v>
      </c>
      <c r="O36" s="31">
        <f t="shared" si="28"/>
        <v>1</v>
      </c>
      <c r="P36" s="31">
        <f t="shared" si="28"/>
        <v>1</v>
      </c>
      <c r="Q36" s="31">
        <f t="shared" si="28"/>
        <v>1</v>
      </c>
      <c r="R36" s="103"/>
    </row>
    <row r="37" spans="1:18" x14ac:dyDescent="0.25">
      <c r="A37" s="132">
        <f t="shared" si="1"/>
        <v>37</v>
      </c>
      <c r="B37" s="107" t="s">
        <v>85</v>
      </c>
      <c r="C37" s="217">
        <v>3</v>
      </c>
      <c r="D37" s="218">
        <v>1</v>
      </c>
      <c r="E37" s="89">
        <f>D37</f>
        <v>1</v>
      </c>
      <c r="F37" s="89">
        <f t="shared" ref="F37" si="29">E37</f>
        <v>1</v>
      </c>
      <c r="G37" s="89">
        <f t="shared" ref="G37" si="30">F37</f>
        <v>1</v>
      </c>
      <c r="H37" s="89">
        <f t="shared" ref="H37" si="31">G37</f>
        <v>1</v>
      </c>
      <c r="I37" s="89">
        <f t="shared" ref="I37" si="32">H37</f>
        <v>1</v>
      </c>
      <c r="J37" s="89">
        <f t="shared" ref="J37" si="33">I37</f>
        <v>1</v>
      </c>
      <c r="K37" s="89">
        <f t="shared" ref="K37" si="34">J37</f>
        <v>1</v>
      </c>
      <c r="L37" s="89">
        <f t="shared" ref="L37" si="35">K37</f>
        <v>1</v>
      </c>
      <c r="M37" s="89">
        <f t="shared" ref="M37" si="36">L37</f>
        <v>1</v>
      </c>
      <c r="N37" s="89">
        <f t="shared" ref="N37" si="37">M37</f>
        <v>1</v>
      </c>
      <c r="O37" s="89">
        <f t="shared" ref="O37" si="38">N37</f>
        <v>1</v>
      </c>
      <c r="P37" s="89">
        <f t="shared" ref="P37" si="39">O37</f>
        <v>1</v>
      </c>
      <c r="Q37" s="89">
        <f t="shared" ref="Q37" si="40">P37</f>
        <v>1</v>
      </c>
      <c r="R37" s="192" t="s">
        <v>87</v>
      </c>
    </row>
    <row r="38" spans="1:18" x14ac:dyDescent="0.25">
      <c r="A38" s="132">
        <f t="shared" si="1"/>
        <v>38</v>
      </c>
      <c r="B38" s="58" t="s">
        <v>84</v>
      </c>
      <c r="C38" s="119">
        <f>C28-C29-C36</f>
        <v>49</v>
      </c>
      <c r="D38" s="44">
        <f>D28-D29-D36-D37</f>
        <v>46</v>
      </c>
      <c r="E38" s="33">
        <f t="shared" ref="E38:Q38" si="41">E28-E29-E36-E37</f>
        <v>44</v>
      </c>
      <c r="F38" s="33">
        <f t="shared" si="41"/>
        <v>42</v>
      </c>
      <c r="G38" s="33">
        <f t="shared" si="41"/>
        <v>40</v>
      </c>
      <c r="H38" s="33">
        <f t="shared" si="41"/>
        <v>38</v>
      </c>
      <c r="I38" s="33">
        <f t="shared" si="41"/>
        <v>36</v>
      </c>
      <c r="J38" s="33">
        <f t="shared" si="41"/>
        <v>34</v>
      </c>
      <c r="K38" s="33">
        <f t="shared" si="41"/>
        <v>32</v>
      </c>
      <c r="L38" s="33">
        <f t="shared" si="41"/>
        <v>29</v>
      </c>
      <c r="M38" s="33">
        <f t="shared" si="41"/>
        <v>27</v>
      </c>
      <c r="N38" s="33">
        <f t="shared" si="41"/>
        <v>25</v>
      </c>
      <c r="O38" s="33">
        <f t="shared" si="41"/>
        <v>23</v>
      </c>
      <c r="P38" s="33">
        <f t="shared" si="41"/>
        <v>21</v>
      </c>
      <c r="Q38" s="33">
        <f t="shared" si="41"/>
        <v>19</v>
      </c>
      <c r="R38" s="103"/>
    </row>
    <row r="39" spans="1:18" x14ac:dyDescent="0.25">
      <c r="A39" s="132">
        <f t="shared" si="1"/>
        <v>39</v>
      </c>
      <c r="B39" s="59" t="s">
        <v>76</v>
      </c>
      <c r="C39" s="123">
        <f>IF(C4="AMC 1x6",(ROUNDDOWN(C12/3,0))*ROUNDDOWN(C38/6,0),IF(C4="AMC 2x3",(ROUNDDOWN(C12/3,0))*ROUNDDOWN(C38/3,0),(ROUNDDOWN(C12/3,0))*ROUNDDOWN(C38/3,0)))</f>
        <v>32</v>
      </c>
      <c r="D39" s="65">
        <f>IF(D4="AMC 1x6",(ROUNDDOWN(D12/3,0))*ROUNDDOWN(D38/6,0),IF(D4="AMC 2x3",(ROUNDDOWN(D12/3,0))*ROUNDDOWN(D38/3,0),IF(D4="AMC 1x3",(ROUNDDOWN(D12/3,0))*ROUNDDOWN(D38/3,0))))</f>
        <v>30</v>
      </c>
      <c r="E39" s="48">
        <f>IF(E4="AMC 1x6",(ROUNDDOWN(E12/3,0))*ROUNDDOWN(E38/6,0),IF(E4="AMC 2x3",(ROUNDDOWN(E12/3,0))*ROUNDDOWN(E38/3,0),IF(E4="AMC 1x3",(ROUNDDOWN(E12/3,0))*ROUNDDOWN(E38/3,0))))</f>
        <v>28</v>
      </c>
      <c r="F39" s="48">
        <f t="shared" ref="F39:Q39" si="42">IF(F4="AMC 1x6",(ROUNDDOWN(F12/3,0))*ROUNDDOWN(F38/6,0),IF(F4="AMC 2x3",(ROUNDDOWN(F12/3,0))*ROUNDDOWN(F38/3,0),IF(F4="AMC 1x3",(ROUNDDOWN(F12/3,0))*ROUNDDOWN(F38/3,0))))</f>
        <v>28</v>
      </c>
      <c r="G39" s="48">
        <f t="shared" si="42"/>
        <v>26</v>
      </c>
      <c r="H39" s="48">
        <f t="shared" si="42"/>
        <v>24</v>
      </c>
      <c r="I39" s="48">
        <f t="shared" si="42"/>
        <v>24</v>
      </c>
      <c r="J39" s="48">
        <f t="shared" si="42"/>
        <v>22</v>
      </c>
      <c r="K39" s="48">
        <f t="shared" si="42"/>
        <v>20</v>
      </c>
      <c r="L39" s="48">
        <f t="shared" si="42"/>
        <v>18</v>
      </c>
      <c r="M39" s="48">
        <f t="shared" si="42"/>
        <v>18</v>
      </c>
      <c r="N39" s="48">
        <f t="shared" si="42"/>
        <v>16</v>
      </c>
      <c r="O39" s="48">
        <f t="shared" si="42"/>
        <v>14</v>
      </c>
      <c r="P39" s="48">
        <f t="shared" si="42"/>
        <v>14</v>
      </c>
      <c r="Q39" s="48">
        <f t="shared" si="42"/>
        <v>12</v>
      </c>
      <c r="R39" s="103"/>
    </row>
    <row r="40" spans="1:18" x14ac:dyDescent="0.25">
      <c r="A40" s="132">
        <f t="shared" si="1"/>
        <v>40</v>
      </c>
      <c r="B40" s="58" t="s">
        <v>49</v>
      </c>
      <c r="C40" s="124">
        <v>376</v>
      </c>
      <c r="D40" s="66">
        <f>60</f>
        <v>60</v>
      </c>
      <c r="E40" s="36">
        <f>D40</f>
        <v>60</v>
      </c>
      <c r="F40" s="36">
        <f t="shared" ref="F40:Q40" si="43">E40</f>
        <v>60</v>
      </c>
      <c r="G40" s="36">
        <f t="shared" si="43"/>
        <v>60</v>
      </c>
      <c r="H40" s="36">
        <f t="shared" si="43"/>
        <v>60</v>
      </c>
      <c r="I40" s="36">
        <f t="shared" si="43"/>
        <v>60</v>
      </c>
      <c r="J40" s="36">
        <f t="shared" si="43"/>
        <v>60</v>
      </c>
      <c r="K40" s="36">
        <f t="shared" si="43"/>
        <v>60</v>
      </c>
      <c r="L40" s="36">
        <f t="shared" si="43"/>
        <v>60</v>
      </c>
      <c r="M40" s="36">
        <f t="shared" si="43"/>
        <v>60</v>
      </c>
      <c r="N40" s="36">
        <f t="shared" si="43"/>
        <v>60</v>
      </c>
      <c r="O40" s="36">
        <f t="shared" si="43"/>
        <v>60</v>
      </c>
      <c r="P40" s="36">
        <f t="shared" si="43"/>
        <v>60</v>
      </c>
      <c r="Q40" s="36">
        <f t="shared" si="43"/>
        <v>60</v>
      </c>
      <c r="R40" s="342" t="s">
        <v>58</v>
      </c>
    </row>
    <row r="41" spans="1:18" x14ac:dyDescent="0.25">
      <c r="A41" s="132">
        <f t="shared" si="1"/>
        <v>41</v>
      </c>
      <c r="B41" s="58" t="s">
        <v>52</v>
      </c>
      <c r="C41" s="55">
        <f>ROUNDUP(C40/8,0)</f>
        <v>47</v>
      </c>
      <c r="D41" s="67">
        <f>ROUNDUP(D40/8,0)</f>
        <v>8</v>
      </c>
      <c r="E41" s="30">
        <f>ROUNDUP(E40/8,0)</f>
        <v>8</v>
      </c>
      <c r="F41" s="30">
        <f t="shared" ref="F41:Q41" si="44">ROUNDUP(F40/8,0)</f>
        <v>8</v>
      </c>
      <c r="G41" s="30">
        <f t="shared" si="44"/>
        <v>8</v>
      </c>
      <c r="H41" s="30">
        <f t="shared" si="44"/>
        <v>8</v>
      </c>
      <c r="I41" s="30">
        <f t="shared" si="44"/>
        <v>8</v>
      </c>
      <c r="J41" s="30">
        <f t="shared" si="44"/>
        <v>8</v>
      </c>
      <c r="K41" s="30">
        <f t="shared" si="44"/>
        <v>8</v>
      </c>
      <c r="L41" s="30">
        <f t="shared" si="44"/>
        <v>8</v>
      </c>
      <c r="M41" s="30">
        <f t="shared" si="44"/>
        <v>8</v>
      </c>
      <c r="N41" s="30">
        <f t="shared" si="44"/>
        <v>8</v>
      </c>
      <c r="O41" s="30">
        <f t="shared" si="44"/>
        <v>8</v>
      </c>
      <c r="P41" s="30">
        <f t="shared" si="44"/>
        <v>8</v>
      </c>
      <c r="Q41" s="30">
        <f t="shared" si="44"/>
        <v>8</v>
      </c>
      <c r="R41" s="342"/>
    </row>
    <row r="42" spans="1:18" x14ac:dyDescent="0.25">
      <c r="A42" s="132">
        <f t="shared" si="1"/>
        <v>42</v>
      </c>
      <c r="B42" s="58" t="s">
        <v>50</v>
      </c>
      <c r="C42" s="124">
        <v>352</v>
      </c>
      <c r="D42" s="66">
        <f>139</f>
        <v>139</v>
      </c>
      <c r="E42" s="17">
        <f>D42</f>
        <v>139</v>
      </c>
      <c r="F42" s="17">
        <f t="shared" ref="F42:Q42" si="45">E42</f>
        <v>139</v>
      </c>
      <c r="G42" s="17">
        <f t="shared" si="45"/>
        <v>139</v>
      </c>
      <c r="H42" s="17">
        <f t="shared" si="45"/>
        <v>139</v>
      </c>
      <c r="I42" s="17">
        <f t="shared" si="45"/>
        <v>139</v>
      </c>
      <c r="J42" s="17">
        <f t="shared" si="45"/>
        <v>139</v>
      </c>
      <c r="K42" s="17">
        <f t="shared" si="45"/>
        <v>139</v>
      </c>
      <c r="L42" s="17">
        <f t="shared" si="45"/>
        <v>139</v>
      </c>
      <c r="M42" s="17">
        <f t="shared" si="45"/>
        <v>139</v>
      </c>
      <c r="N42" s="17">
        <f t="shared" si="45"/>
        <v>139</v>
      </c>
      <c r="O42" s="17">
        <f t="shared" si="45"/>
        <v>139</v>
      </c>
      <c r="P42" s="17">
        <f t="shared" si="45"/>
        <v>139</v>
      </c>
      <c r="Q42" s="17">
        <f t="shared" si="45"/>
        <v>139</v>
      </c>
      <c r="R42" s="342"/>
    </row>
    <row r="43" spans="1:18" x14ac:dyDescent="0.25">
      <c r="A43" s="132">
        <f t="shared" si="1"/>
        <v>43</v>
      </c>
      <c r="B43" s="58" t="s">
        <v>51</v>
      </c>
      <c r="C43" s="55">
        <f>ROUNDUP(C42/8,0)</f>
        <v>44</v>
      </c>
      <c r="D43" s="67">
        <f>ROUNDUP(D42/8,0)</f>
        <v>18</v>
      </c>
      <c r="E43" s="17">
        <f>D43</f>
        <v>18</v>
      </c>
      <c r="F43" s="17">
        <f t="shared" ref="F43:Q43" si="46">E43</f>
        <v>18</v>
      </c>
      <c r="G43" s="17">
        <f t="shared" si="46"/>
        <v>18</v>
      </c>
      <c r="H43" s="17">
        <f t="shared" si="46"/>
        <v>18</v>
      </c>
      <c r="I43" s="17">
        <f t="shared" si="46"/>
        <v>18</v>
      </c>
      <c r="J43" s="17">
        <f t="shared" si="46"/>
        <v>18</v>
      </c>
      <c r="K43" s="17">
        <f t="shared" si="46"/>
        <v>18</v>
      </c>
      <c r="L43" s="17">
        <f t="shared" si="46"/>
        <v>18</v>
      </c>
      <c r="M43" s="17">
        <f t="shared" si="46"/>
        <v>18</v>
      </c>
      <c r="N43" s="17">
        <f t="shared" si="46"/>
        <v>18</v>
      </c>
      <c r="O43" s="17">
        <f t="shared" si="46"/>
        <v>18</v>
      </c>
      <c r="P43" s="17">
        <f t="shared" si="46"/>
        <v>18</v>
      </c>
      <c r="Q43" s="17">
        <f t="shared" si="46"/>
        <v>18</v>
      </c>
      <c r="R43" s="342"/>
    </row>
    <row r="44" spans="1:18" x14ac:dyDescent="0.25">
      <c r="A44" s="132">
        <f t="shared" si="1"/>
        <v>44</v>
      </c>
      <c r="B44" s="58" t="s">
        <v>47</v>
      </c>
      <c r="C44" s="82">
        <f>IF(C4="AMC 1x3",2,1)</f>
        <v>1</v>
      </c>
      <c r="D44" s="83">
        <f>IF(D4="AMC 1x3",2,1)</f>
        <v>1</v>
      </c>
      <c r="E44" s="32">
        <f t="shared" ref="E44:Q44" si="47">IF(E4="AMC 1x3",2,1)</f>
        <v>1</v>
      </c>
      <c r="F44" s="32">
        <f t="shared" si="47"/>
        <v>1</v>
      </c>
      <c r="G44" s="32">
        <f t="shared" si="47"/>
        <v>1</v>
      </c>
      <c r="H44" s="32">
        <f t="shared" si="47"/>
        <v>1</v>
      </c>
      <c r="I44" s="32">
        <f t="shared" si="47"/>
        <v>1</v>
      </c>
      <c r="J44" s="32">
        <f t="shared" si="47"/>
        <v>1</v>
      </c>
      <c r="K44" s="32">
        <f t="shared" si="47"/>
        <v>1</v>
      </c>
      <c r="L44" s="32">
        <f t="shared" si="47"/>
        <v>1</v>
      </c>
      <c r="M44" s="32">
        <f t="shared" si="47"/>
        <v>1</v>
      </c>
      <c r="N44" s="32">
        <f t="shared" si="47"/>
        <v>1</v>
      </c>
      <c r="O44" s="32">
        <f t="shared" si="47"/>
        <v>1</v>
      </c>
      <c r="P44" s="32">
        <f t="shared" si="47"/>
        <v>1</v>
      </c>
      <c r="Q44" s="32">
        <f t="shared" si="47"/>
        <v>1</v>
      </c>
      <c r="R44" s="342"/>
    </row>
    <row r="45" spans="1:18" x14ac:dyDescent="0.25">
      <c r="A45" s="132">
        <f t="shared" si="1"/>
        <v>45</v>
      </c>
      <c r="B45" s="58" t="s">
        <v>53</v>
      </c>
      <c r="C45" s="55">
        <f>2*1/2*8*(C34*C35)/8</f>
        <v>6</v>
      </c>
      <c r="D45" s="67">
        <f>2*1/2*8*(D$34*D$35)/8</f>
        <v>6</v>
      </c>
      <c r="E45" s="30">
        <f>2*1/2*8*(E34*E35)/8</f>
        <v>6</v>
      </c>
      <c r="F45" s="30">
        <f t="shared" ref="F45:Q45" si="48">2*1/2*8*(F34*F35)/8</f>
        <v>6</v>
      </c>
      <c r="G45" s="30">
        <f t="shared" si="48"/>
        <v>6</v>
      </c>
      <c r="H45" s="30">
        <f t="shared" si="48"/>
        <v>6</v>
      </c>
      <c r="I45" s="30">
        <f t="shared" si="48"/>
        <v>6</v>
      </c>
      <c r="J45" s="30">
        <f t="shared" si="48"/>
        <v>6</v>
      </c>
      <c r="K45" s="30">
        <f t="shared" si="48"/>
        <v>6</v>
      </c>
      <c r="L45" s="30">
        <f t="shared" si="48"/>
        <v>6</v>
      </c>
      <c r="M45" s="30">
        <f t="shared" si="48"/>
        <v>6</v>
      </c>
      <c r="N45" s="30">
        <f t="shared" si="48"/>
        <v>6</v>
      </c>
      <c r="O45" s="30">
        <f t="shared" si="48"/>
        <v>6</v>
      </c>
      <c r="P45" s="30">
        <f t="shared" si="48"/>
        <v>6</v>
      </c>
      <c r="Q45" s="30">
        <f t="shared" si="48"/>
        <v>6</v>
      </c>
      <c r="R45" s="103"/>
    </row>
    <row r="46" spans="1:18" x14ac:dyDescent="0.25">
      <c r="A46" s="132">
        <f t="shared" si="1"/>
        <v>46</v>
      </c>
      <c r="B46" s="58" t="s">
        <v>57</v>
      </c>
      <c r="C46" s="125">
        <f>ROUNDUP(C41/C45,0)+ROUNDUP(C43/C45,0)+C44</f>
        <v>17</v>
      </c>
      <c r="D46" s="68">
        <f>ROUNDUP(D41/D45,0)+ROUNDUP(D43/D45,0)+D44</f>
        <v>6</v>
      </c>
      <c r="E46" s="35">
        <f>ROUNDUP(E41/E45,0)+ROUNDUP(E43/E45,0)+E44</f>
        <v>6</v>
      </c>
      <c r="F46" s="35">
        <f t="shared" ref="F46:Q46" si="49">ROUNDUP(F41/F45,0)+ROUNDUP(F43/F45,0)+F44</f>
        <v>6</v>
      </c>
      <c r="G46" s="35">
        <f t="shared" si="49"/>
        <v>6</v>
      </c>
      <c r="H46" s="35">
        <f t="shared" si="49"/>
        <v>6</v>
      </c>
      <c r="I46" s="35">
        <f t="shared" si="49"/>
        <v>6</v>
      </c>
      <c r="J46" s="35">
        <f t="shared" si="49"/>
        <v>6</v>
      </c>
      <c r="K46" s="35">
        <f t="shared" si="49"/>
        <v>6</v>
      </c>
      <c r="L46" s="35">
        <f t="shared" si="49"/>
        <v>6</v>
      </c>
      <c r="M46" s="35">
        <f t="shared" si="49"/>
        <v>6</v>
      </c>
      <c r="N46" s="35">
        <f t="shared" si="49"/>
        <v>6</v>
      </c>
      <c r="O46" s="35">
        <f t="shared" si="49"/>
        <v>6</v>
      </c>
      <c r="P46" s="35">
        <f t="shared" si="49"/>
        <v>6</v>
      </c>
      <c r="Q46" s="35">
        <f t="shared" si="49"/>
        <v>6</v>
      </c>
      <c r="R46" s="103"/>
    </row>
    <row r="47" spans="1:18" x14ac:dyDescent="0.25">
      <c r="A47" s="132">
        <f t="shared" si="1"/>
        <v>47</v>
      </c>
      <c r="B47" s="202" t="s">
        <v>60</v>
      </c>
      <c r="C47" s="330">
        <f>C39-C46</f>
        <v>15</v>
      </c>
      <c r="D47" s="203">
        <f>D39-D46</f>
        <v>24</v>
      </c>
      <c r="E47" s="204">
        <f t="shared" ref="E47:Q47" si="50">E39-E46</f>
        <v>22</v>
      </c>
      <c r="F47" s="204">
        <f t="shared" si="50"/>
        <v>22</v>
      </c>
      <c r="G47" s="204">
        <f t="shared" si="50"/>
        <v>20</v>
      </c>
      <c r="H47" s="204">
        <f t="shared" si="50"/>
        <v>18</v>
      </c>
      <c r="I47" s="204">
        <f t="shared" si="50"/>
        <v>18</v>
      </c>
      <c r="J47" s="204">
        <f t="shared" si="50"/>
        <v>16</v>
      </c>
      <c r="K47" s="204">
        <f t="shared" si="50"/>
        <v>14</v>
      </c>
      <c r="L47" s="204">
        <f t="shared" si="50"/>
        <v>12</v>
      </c>
      <c r="M47" s="204">
        <f t="shared" si="50"/>
        <v>12</v>
      </c>
      <c r="N47" s="204">
        <f t="shared" si="50"/>
        <v>10</v>
      </c>
      <c r="O47" s="204">
        <f t="shared" si="50"/>
        <v>8</v>
      </c>
      <c r="P47" s="204">
        <f t="shared" si="50"/>
        <v>8</v>
      </c>
      <c r="Q47" s="204">
        <f t="shared" si="50"/>
        <v>6</v>
      </c>
      <c r="R47" s="103"/>
    </row>
    <row r="48" spans="1:18" x14ac:dyDescent="0.25">
      <c r="A48" s="132">
        <f t="shared" si="1"/>
        <v>48</v>
      </c>
      <c r="B48" s="61" t="s">
        <v>75</v>
      </c>
      <c r="C48" s="331">
        <v>2</v>
      </c>
      <c r="D48" s="219">
        <v>1</v>
      </c>
      <c r="E48" s="78">
        <f>D48</f>
        <v>1</v>
      </c>
      <c r="F48" s="78">
        <f t="shared" ref="F48:Q48" si="51">E48</f>
        <v>1</v>
      </c>
      <c r="G48" s="78">
        <f t="shared" si="51"/>
        <v>1</v>
      </c>
      <c r="H48" s="78">
        <f t="shared" si="51"/>
        <v>1</v>
      </c>
      <c r="I48" s="78">
        <f t="shared" si="51"/>
        <v>1</v>
      </c>
      <c r="J48" s="78">
        <f t="shared" si="51"/>
        <v>1</v>
      </c>
      <c r="K48" s="78">
        <f t="shared" si="51"/>
        <v>1</v>
      </c>
      <c r="L48" s="78">
        <f t="shared" si="51"/>
        <v>1</v>
      </c>
      <c r="M48" s="78">
        <f t="shared" si="51"/>
        <v>1</v>
      </c>
      <c r="N48" s="78">
        <f t="shared" si="51"/>
        <v>1</v>
      </c>
      <c r="O48" s="78">
        <f t="shared" si="51"/>
        <v>1</v>
      </c>
      <c r="P48" s="78">
        <f t="shared" si="51"/>
        <v>1</v>
      </c>
      <c r="Q48" s="78">
        <f t="shared" si="51"/>
        <v>1</v>
      </c>
      <c r="R48" s="103"/>
    </row>
    <row r="49" spans="1:18" x14ac:dyDescent="0.25">
      <c r="A49" s="132">
        <f t="shared" si="1"/>
        <v>49</v>
      </c>
      <c r="B49" s="62" t="s">
        <v>61</v>
      </c>
      <c r="C49" s="125">
        <f>C47-C50</f>
        <v>10</v>
      </c>
      <c r="D49" s="328">
        <f>D47-D50</f>
        <v>12</v>
      </c>
      <c r="E49" s="46">
        <f>E47-E50</f>
        <v>11</v>
      </c>
      <c r="F49" s="46">
        <f>F47-F50</f>
        <v>11</v>
      </c>
      <c r="G49" s="46">
        <f t="shared" ref="G49:Q49" si="52">G47-G50</f>
        <v>10</v>
      </c>
      <c r="H49" s="46">
        <f t="shared" si="52"/>
        <v>9</v>
      </c>
      <c r="I49" s="46">
        <f t="shared" si="52"/>
        <v>9</v>
      </c>
      <c r="J49" s="46">
        <f t="shared" si="52"/>
        <v>8</v>
      </c>
      <c r="K49" s="46">
        <f t="shared" si="52"/>
        <v>7</v>
      </c>
      <c r="L49" s="46">
        <f t="shared" si="52"/>
        <v>6</v>
      </c>
      <c r="M49" s="46">
        <f t="shared" si="52"/>
        <v>6</v>
      </c>
      <c r="N49" s="46">
        <f t="shared" si="52"/>
        <v>5</v>
      </c>
      <c r="O49" s="46">
        <f t="shared" si="52"/>
        <v>4</v>
      </c>
      <c r="P49" s="46">
        <f t="shared" si="52"/>
        <v>4</v>
      </c>
      <c r="Q49" s="46">
        <f t="shared" si="52"/>
        <v>3</v>
      </c>
      <c r="R49" s="103"/>
    </row>
    <row r="50" spans="1:18" x14ac:dyDescent="0.25">
      <c r="A50" s="132">
        <f t="shared" si="1"/>
        <v>50</v>
      </c>
      <c r="B50" s="63" t="s">
        <v>62</v>
      </c>
      <c r="C50" s="125">
        <f>IF((C47/(C48+1))&lt;1,1,INT(C47/(C48+1)))</f>
        <v>5</v>
      </c>
      <c r="D50" s="328">
        <f>IF((D47/(D48+1))&lt;1,1,INT(D47/(D48+1)))</f>
        <v>12</v>
      </c>
      <c r="E50" s="46">
        <f>IF((E47/(E48+1))&lt;1,1,INT(E47/(E48+1)))</f>
        <v>11</v>
      </c>
      <c r="F50" s="46">
        <f>IF((F47/(F48+1))&lt;1,1,INT(F47/(F48+1)))</f>
        <v>11</v>
      </c>
      <c r="G50" s="46">
        <f t="shared" ref="G50:Q50" si="53">IF((G47/(G48+1))&lt;1,1,INT(G47/(G48+1)))</f>
        <v>10</v>
      </c>
      <c r="H50" s="46">
        <f t="shared" si="53"/>
        <v>9</v>
      </c>
      <c r="I50" s="46">
        <f t="shared" si="53"/>
        <v>9</v>
      </c>
      <c r="J50" s="46">
        <f t="shared" si="53"/>
        <v>8</v>
      </c>
      <c r="K50" s="46">
        <f t="shared" si="53"/>
        <v>7</v>
      </c>
      <c r="L50" s="46">
        <f t="shared" si="53"/>
        <v>6</v>
      </c>
      <c r="M50" s="46">
        <f t="shared" si="53"/>
        <v>6</v>
      </c>
      <c r="N50" s="46">
        <f t="shared" si="53"/>
        <v>5</v>
      </c>
      <c r="O50" s="46">
        <f t="shared" si="53"/>
        <v>4</v>
      </c>
      <c r="P50" s="46">
        <f t="shared" si="53"/>
        <v>4</v>
      </c>
      <c r="Q50" s="46">
        <f t="shared" si="53"/>
        <v>3</v>
      </c>
      <c r="R50" s="103"/>
    </row>
    <row r="51" spans="1:18" x14ac:dyDescent="0.25">
      <c r="A51" s="132">
        <f t="shared" si="1"/>
        <v>51</v>
      </c>
      <c r="B51" s="63" t="s">
        <v>63</v>
      </c>
      <c r="C51" s="127">
        <f>IF(C4="AMC 1x6",C38-6*ROUNDDOWN(C38/6,0),C38-3*ROUNDDOWN(C38/3,0))</f>
        <v>1</v>
      </c>
      <c r="D51" s="70">
        <f>IF(D4="AMC 1x6",D38-6*ROUNDDOWN(D38/6,0),D38-3*ROUNDDOWN(D38/3,0))</f>
        <v>1</v>
      </c>
      <c r="E51" s="37">
        <f t="shared" ref="E51:Q51" si="54">IF(E4="AMC 1x6",E38-6*ROUNDDOWN(E38/6,0),E38-3*ROUNDDOWN(E38/3,0))</f>
        <v>2</v>
      </c>
      <c r="F51" s="37">
        <f t="shared" si="54"/>
        <v>0</v>
      </c>
      <c r="G51" s="37">
        <f t="shared" si="54"/>
        <v>1</v>
      </c>
      <c r="H51" s="37">
        <f t="shared" si="54"/>
        <v>2</v>
      </c>
      <c r="I51" s="37">
        <f t="shared" si="54"/>
        <v>0</v>
      </c>
      <c r="J51" s="37">
        <f t="shared" si="54"/>
        <v>1</v>
      </c>
      <c r="K51" s="37">
        <f t="shared" si="54"/>
        <v>2</v>
      </c>
      <c r="L51" s="37">
        <f t="shared" si="54"/>
        <v>2</v>
      </c>
      <c r="M51" s="37">
        <f t="shared" si="54"/>
        <v>0</v>
      </c>
      <c r="N51" s="37">
        <f t="shared" si="54"/>
        <v>1</v>
      </c>
      <c r="O51" s="37">
        <f t="shared" si="54"/>
        <v>2</v>
      </c>
      <c r="P51" s="37">
        <f t="shared" si="54"/>
        <v>0</v>
      </c>
      <c r="Q51" s="37">
        <f t="shared" si="54"/>
        <v>1</v>
      </c>
      <c r="R51" s="103"/>
    </row>
    <row r="52" spans="1:18" x14ac:dyDescent="0.25">
      <c r="A52" s="132">
        <f t="shared" si="1"/>
        <v>52</v>
      </c>
      <c r="B52" s="63" t="s">
        <v>74</v>
      </c>
      <c r="C52" s="126">
        <f>C49/C50</f>
        <v>2</v>
      </c>
      <c r="D52" s="225">
        <f t="shared" ref="D52:Q52" si="55">IF(D47&gt;1,D49/D50,"n/a")</f>
        <v>1</v>
      </c>
      <c r="E52" s="78">
        <f t="shared" si="55"/>
        <v>1</v>
      </c>
      <c r="F52" s="78">
        <f t="shared" si="55"/>
        <v>1</v>
      </c>
      <c r="G52" s="78">
        <f t="shared" si="55"/>
        <v>1</v>
      </c>
      <c r="H52" s="78">
        <f t="shared" si="55"/>
        <v>1</v>
      </c>
      <c r="I52" s="78">
        <f t="shared" si="55"/>
        <v>1</v>
      </c>
      <c r="J52" s="78">
        <f t="shared" si="55"/>
        <v>1</v>
      </c>
      <c r="K52" s="78">
        <f t="shared" si="55"/>
        <v>1</v>
      </c>
      <c r="L52" s="78">
        <f t="shared" si="55"/>
        <v>1</v>
      </c>
      <c r="M52" s="78">
        <f t="shared" si="55"/>
        <v>1</v>
      </c>
      <c r="N52" s="78">
        <f t="shared" si="55"/>
        <v>1</v>
      </c>
      <c r="O52" s="78">
        <f t="shared" si="55"/>
        <v>1</v>
      </c>
      <c r="P52" s="78">
        <f t="shared" si="55"/>
        <v>1</v>
      </c>
      <c r="Q52" s="78">
        <f t="shared" si="55"/>
        <v>1</v>
      </c>
      <c r="R52" s="103"/>
    </row>
    <row r="53" spans="1:18" x14ac:dyDescent="0.25">
      <c r="A53" s="132">
        <f t="shared" si="1"/>
        <v>53</v>
      </c>
      <c r="B53" s="61" t="s">
        <v>64</v>
      </c>
      <c r="C53" s="220">
        <v>2</v>
      </c>
      <c r="D53" s="221">
        <v>2</v>
      </c>
      <c r="E53" s="38">
        <f>D53</f>
        <v>2</v>
      </c>
      <c r="F53" s="38">
        <f t="shared" ref="F53:Q53" si="56">E53</f>
        <v>2</v>
      </c>
      <c r="G53" s="38">
        <f t="shared" si="56"/>
        <v>2</v>
      </c>
      <c r="H53" s="38">
        <f t="shared" si="56"/>
        <v>2</v>
      </c>
      <c r="I53" s="38">
        <f t="shared" si="56"/>
        <v>2</v>
      </c>
      <c r="J53" s="38">
        <f t="shared" si="56"/>
        <v>2</v>
      </c>
      <c r="K53" s="38">
        <f t="shared" si="56"/>
        <v>2</v>
      </c>
      <c r="L53" s="38">
        <f t="shared" si="56"/>
        <v>2</v>
      </c>
      <c r="M53" s="38">
        <f t="shared" si="56"/>
        <v>2</v>
      </c>
      <c r="N53" s="38">
        <f t="shared" si="56"/>
        <v>2</v>
      </c>
      <c r="O53" s="38">
        <f t="shared" si="56"/>
        <v>2</v>
      </c>
      <c r="P53" s="38">
        <f t="shared" si="56"/>
        <v>2</v>
      </c>
      <c r="Q53" s="38">
        <f t="shared" si="56"/>
        <v>2</v>
      </c>
      <c r="R53" s="104" t="s">
        <v>70</v>
      </c>
    </row>
    <row r="54" spans="1:18" x14ac:dyDescent="0.25">
      <c r="A54" s="132">
        <f t="shared" si="1"/>
        <v>54</v>
      </c>
      <c r="B54" s="62" t="s">
        <v>65</v>
      </c>
      <c r="C54" s="55">
        <f>(6*5/6*8*(C$34*C$35)/8)</f>
        <v>30</v>
      </c>
      <c r="D54" s="67">
        <f>(6*5/6*8*(D$34*D$35)/8)</f>
        <v>30</v>
      </c>
      <c r="E54" s="30">
        <f t="shared" ref="E54:Q54" si="57">(6*5/6*8*(E$34*E$35)/8)</f>
        <v>30</v>
      </c>
      <c r="F54" s="30">
        <f t="shared" si="57"/>
        <v>30</v>
      </c>
      <c r="G54" s="30">
        <f t="shared" si="57"/>
        <v>30</v>
      </c>
      <c r="H54" s="30">
        <f t="shared" si="57"/>
        <v>30</v>
      </c>
      <c r="I54" s="30">
        <f t="shared" si="57"/>
        <v>30</v>
      </c>
      <c r="J54" s="30">
        <f t="shared" si="57"/>
        <v>30</v>
      </c>
      <c r="K54" s="30">
        <f t="shared" si="57"/>
        <v>30</v>
      </c>
      <c r="L54" s="30">
        <f t="shared" si="57"/>
        <v>30</v>
      </c>
      <c r="M54" s="30">
        <f t="shared" si="57"/>
        <v>30</v>
      </c>
      <c r="N54" s="30">
        <f t="shared" si="57"/>
        <v>30</v>
      </c>
      <c r="O54" s="30">
        <f t="shared" si="57"/>
        <v>30</v>
      </c>
      <c r="P54" s="30">
        <f t="shared" si="57"/>
        <v>30</v>
      </c>
      <c r="Q54" s="30">
        <f t="shared" si="57"/>
        <v>30</v>
      </c>
      <c r="R54" s="103"/>
    </row>
    <row r="55" spans="1:18" x14ac:dyDescent="0.25">
      <c r="A55" s="132">
        <f t="shared" si="1"/>
        <v>55</v>
      </c>
      <c r="B55" s="62" t="s">
        <v>66</v>
      </c>
      <c r="C55" s="55">
        <f>2*1/2*8*(C$34*C$35)/8</f>
        <v>6</v>
      </c>
      <c r="D55" s="67">
        <f>2*1/2*8*(D$34*D$35)/8</f>
        <v>6</v>
      </c>
      <c r="E55" s="30">
        <f t="shared" ref="E55:Q55" si="58">2*1/2*8*(E$34*E$35)/8</f>
        <v>6</v>
      </c>
      <c r="F55" s="30">
        <f t="shared" si="58"/>
        <v>6</v>
      </c>
      <c r="G55" s="30">
        <f t="shared" si="58"/>
        <v>6</v>
      </c>
      <c r="H55" s="30">
        <f t="shared" si="58"/>
        <v>6</v>
      </c>
      <c r="I55" s="30">
        <f t="shared" si="58"/>
        <v>6</v>
      </c>
      <c r="J55" s="30">
        <f t="shared" si="58"/>
        <v>6</v>
      </c>
      <c r="K55" s="30">
        <f t="shared" si="58"/>
        <v>6</v>
      </c>
      <c r="L55" s="30">
        <f t="shared" si="58"/>
        <v>6</v>
      </c>
      <c r="M55" s="30">
        <f t="shared" si="58"/>
        <v>6</v>
      </c>
      <c r="N55" s="30">
        <f t="shared" si="58"/>
        <v>6</v>
      </c>
      <c r="O55" s="30">
        <f t="shared" si="58"/>
        <v>6</v>
      </c>
      <c r="P55" s="30">
        <f t="shared" si="58"/>
        <v>6</v>
      </c>
      <c r="Q55" s="30">
        <f t="shared" si="58"/>
        <v>6</v>
      </c>
      <c r="R55" s="103"/>
    </row>
    <row r="56" spans="1:18" x14ac:dyDescent="0.25">
      <c r="A56" s="132">
        <f t="shared" si="1"/>
        <v>56</v>
      </c>
      <c r="B56" s="63" t="s">
        <v>67</v>
      </c>
      <c r="C56" s="54">
        <f>C53*8*(C$34*C$35)/8</f>
        <v>12</v>
      </c>
      <c r="D56" s="72">
        <f>D53*8*(D$34*D$35)/8</f>
        <v>12</v>
      </c>
      <c r="E56" s="39">
        <f t="shared" ref="E56:H56" si="59">E53*8*(E$34*E$35)/8</f>
        <v>12</v>
      </c>
      <c r="F56" s="39">
        <f t="shared" si="59"/>
        <v>12</v>
      </c>
      <c r="G56" s="39">
        <f t="shared" si="59"/>
        <v>12</v>
      </c>
      <c r="H56" s="39">
        <f t="shared" si="59"/>
        <v>12</v>
      </c>
      <c r="I56" s="39">
        <f t="shared" ref="I56:Q56" si="60">I53*8*(I$34*I$35)/8</f>
        <v>12</v>
      </c>
      <c r="J56" s="39">
        <f t="shared" si="60"/>
        <v>12</v>
      </c>
      <c r="K56" s="39">
        <f t="shared" si="60"/>
        <v>12</v>
      </c>
      <c r="L56" s="39">
        <f t="shared" si="60"/>
        <v>12</v>
      </c>
      <c r="M56" s="39">
        <f t="shared" si="60"/>
        <v>12</v>
      </c>
      <c r="N56" s="39">
        <f t="shared" si="60"/>
        <v>12</v>
      </c>
      <c r="O56" s="39">
        <f t="shared" si="60"/>
        <v>12</v>
      </c>
      <c r="P56" s="39">
        <f t="shared" si="60"/>
        <v>12</v>
      </c>
      <c r="Q56" s="39">
        <f t="shared" si="60"/>
        <v>12</v>
      </c>
      <c r="R56" s="103"/>
    </row>
    <row r="57" spans="1:18" ht="15" customHeight="1" x14ac:dyDescent="0.25">
      <c r="A57" s="132">
        <f t="shared" si="1"/>
        <v>57</v>
      </c>
      <c r="B57" s="64" t="s">
        <v>112</v>
      </c>
      <c r="C57" s="54"/>
      <c r="D57" s="96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105"/>
    </row>
    <row r="58" spans="1:18" x14ac:dyDescent="0.25">
      <c r="A58" s="132">
        <f>A57+1</f>
        <v>58</v>
      </c>
      <c r="B58" s="63" t="s">
        <v>110</v>
      </c>
      <c r="C58" s="128">
        <f>8*C49*C$54/C$25</f>
        <v>480</v>
      </c>
      <c r="D58" s="322">
        <f>8*D49*D$54/D$25</f>
        <v>576</v>
      </c>
      <c r="E58" s="324">
        <f>8*E49*E$54/E$25</f>
        <v>528</v>
      </c>
      <c r="F58" s="324">
        <f t="shared" ref="F58:Q58" si="61">8*F49*F$54/F$25</f>
        <v>528</v>
      </c>
      <c r="G58" s="324">
        <f t="shared" si="61"/>
        <v>480</v>
      </c>
      <c r="H58" s="324">
        <f t="shared" si="61"/>
        <v>432</v>
      </c>
      <c r="I58" s="324">
        <f t="shared" si="61"/>
        <v>432</v>
      </c>
      <c r="J58" s="324">
        <f t="shared" si="61"/>
        <v>384</v>
      </c>
      <c r="K58" s="324">
        <f t="shared" si="61"/>
        <v>336</v>
      </c>
      <c r="L58" s="324">
        <f t="shared" si="61"/>
        <v>288</v>
      </c>
      <c r="M58" s="324">
        <f t="shared" si="61"/>
        <v>288</v>
      </c>
      <c r="N58" s="324">
        <f t="shared" si="61"/>
        <v>240</v>
      </c>
      <c r="O58" s="324">
        <f t="shared" si="61"/>
        <v>192</v>
      </c>
      <c r="P58" s="324">
        <f t="shared" si="61"/>
        <v>192</v>
      </c>
      <c r="Q58" s="324">
        <f t="shared" si="61"/>
        <v>144</v>
      </c>
      <c r="R58" s="320"/>
    </row>
    <row r="59" spans="1:18" x14ac:dyDescent="0.25">
      <c r="A59" s="132">
        <f t="shared" ref="A59:A64" si="62">A58+1</f>
        <v>59</v>
      </c>
      <c r="B59" s="63" t="s">
        <v>68</v>
      </c>
      <c r="C59" s="128">
        <f>8*C49*C$56/C$25</f>
        <v>192</v>
      </c>
      <c r="D59" s="323">
        <f>8*D49*D$56/D$25</f>
        <v>230.4</v>
      </c>
      <c r="E59" s="79">
        <f t="shared" ref="E59:H59" si="63">8*E49*E$56/E$25</f>
        <v>211.2</v>
      </c>
      <c r="F59" s="79">
        <f t="shared" si="63"/>
        <v>211.2</v>
      </c>
      <c r="G59" s="79">
        <f t="shared" si="63"/>
        <v>192</v>
      </c>
      <c r="H59" s="79">
        <f t="shared" si="63"/>
        <v>172.8</v>
      </c>
      <c r="I59" s="79">
        <f t="shared" ref="I59:Q59" si="64">8*I49*I$56/I$25</f>
        <v>172.8</v>
      </c>
      <c r="J59" s="79">
        <f t="shared" si="64"/>
        <v>153.6</v>
      </c>
      <c r="K59" s="79">
        <f t="shared" si="64"/>
        <v>134.4</v>
      </c>
      <c r="L59" s="79">
        <f t="shared" si="64"/>
        <v>115.2</v>
      </c>
      <c r="M59" s="79">
        <f t="shared" si="64"/>
        <v>115.2</v>
      </c>
      <c r="N59" s="79">
        <f t="shared" si="64"/>
        <v>96</v>
      </c>
      <c r="O59" s="79">
        <f t="shared" si="64"/>
        <v>76.8</v>
      </c>
      <c r="P59" s="79">
        <f t="shared" si="64"/>
        <v>76.8</v>
      </c>
      <c r="Q59" s="79">
        <f t="shared" si="64"/>
        <v>57.6</v>
      </c>
      <c r="R59" s="103"/>
    </row>
    <row r="60" spans="1:18" x14ac:dyDescent="0.25">
      <c r="A60" s="132">
        <f t="shared" si="62"/>
        <v>60</v>
      </c>
      <c r="B60" s="63" t="s">
        <v>111</v>
      </c>
      <c r="C60" s="128">
        <f>8*C50*C$54/C$25</f>
        <v>240</v>
      </c>
      <c r="D60" s="322">
        <f>8*D50*D$54/D$25</f>
        <v>576</v>
      </c>
      <c r="E60" s="324">
        <f>8*E50*E$54/E$25</f>
        <v>528</v>
      </c>
      <c r="F60" s="324">
        <f t="shared" ref="F60:Q60" si="65">8*F50*F$54/F$25</f>
        <v>528</v>
      </c>
      <c r="G60" s="324">
        <f t="shared" si="65"/>
        <v>480</v>
      </c>
      <c r="H60" s="324">
        <f t="shared" si="65"/>
        <v>432</v>
      </c>
      <c r="I60" s="324">
        <f t="shared" si="65"/>
        <v>432</v>
      </c>
      <c r="J60" s="324">
        <f t="shared" si="65"/>
        <v>384</v>
      </c>
      <c r="K60" s="324">
        <f t="shared" si="65"/>
        <v>336</v>
      </c>
      <c r="L60" s="324">
        <f t="shared" si="65"/>
        <v>288</v>
      </c>
      <c r="M60" s="324">
        <f t="shared" si="65"/>
        <v>288</v>
      </c>
      <c r="N60" s="324">
        <f t="shared" si="65"/>
        <v>240</v>
      </c>
      <c r="O60" s="324">
        <f t="shared" si="65"/>
        <v>192</v>
      </c>
      <c r="P60" s="324">
        <f t="shared" si="65"/>
        <v>192</v>
      </c>
      <c r="Q60" s="324">
        <f t="shared" si="65"/>
        <v>144</v>
      </c>
      <c r="R60" s="103"/>
    </row>
    <row r="61" spans="1:18" x14ac:dyDescent="0.25">
      <c r="A61" s="132">
        <f t="shared" si="62"/>
        <v>61</v>
      </c>
      <c r="B61" s="63" t="s">
        <v>69</v>
      </c>
      <c r="C61" s="128">
        <f>8*C50*C$56/C$25</f>
        <v>96</v>
      </c>
      <c r="D61" s="74">
        <f>8*D50*D$56/D$25</f>
        <v>230.4</v>
      </c>
      <c r="E61" s="79">
        <f t="shared" ref="E61:H61" si="66">8*E50*E$56/E$25</f>
        <v>211.2</v>
      </c>
      <c r="F61" s="79">
        <f t="shared" si="66"/>
        <v>211.2</v>
      </c>
      <c r="G61" s="79">
        <f t="shared" si="66"/>
        <v>192</v>
      </c>
      <c r="H61" s="79">
        <f t="shared" si="66"/>
        <v>172.8</v>
      </c>
      <c r="I61" s="79">
        <f t="shared" ref="I61:Q61" si="67">8*I50*I$56/I$25</f>
        <v>172.8</v>
      </c>
      <c r="J61" s="79">
        <f t="shared" si="67"/>
        <v>153.6</v>
      </c>
      <c r="K61" s="79">
        <f t="shared" si="67"/>
        <v>134.4</v>
      </c>
      <c r="L61" s="79">
        <f t="shared" si="67"/>
        <v>115.2</v>
      </c>
      <c r="M61" s="79">
        <f t="shared" si="67"/>
        <v>115.2</v>
      </c>
      <c r="N61" s="79">
        <f t="shared" si="67"/>
        <v>96</v>
      </c>
      <c r="O61" s="79">
        <f t="shared" si="67"/>
        <v>76.8</v>
      </c>
      <c r="P61" s="79">
        <f t="shared" si="67"/>
        <v>76.8</v>
      </c>
      <c r="Q61" s="79">
        <f t="shared" si="67"/>
        <v>57.6</v>
      </c>
      <c r="R61" s="103"/>
    </row>
    <row r="62" spans="1:18" x14ac:dyDescent="0.25">
      <c r="A62" s="132">
        <f t="shared" si="62"/>
        <v>62</v>
      </c>
      <c r="B62" s="64" t="s">
        <v>113</v>
      </c>
      <c r="C62" s="200"/>
      <c r="D62" s="97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105"/>
    </row>
    <row r="63" spans="1:18" x14ac:dyDescent="0.25">
      <c r="A63" s="132">
        <f t="shared" si="62"/>
        <v>63</v>
      </c>
      <c r="B63" s="63" t="s">
        <v>71</v>
      </c>
      <c r="C63" s="199">
        <f>3*C59</f>
        <v>576</v>
      </c>
      <c r="D63" s="138">
        <f t="shared" ref="D63:Q63" si="68">D$12/(3*ROUNDDOWN(D$12/3,0))*3*D59</f>
        <v>691.2</v>
      </c>
      <c r="E63" s="79">
        <f t="shared" si="68"/>
        <v>633.59999999999991</v>
      </c>
      <c r="F63" s="79">
        <f t="shared" si="68"/>
        <v>633.59999999999991</v>
      </c>
      <c r="G63" s="79">
        <f t="shared" si="68"/>
        <v>576</v>
      </c>
      <c r="H63" s="79">
        <f t="shared" si="68"/>
        <v>518.40000000000009</v>
      </c>
      <c r="I63" s="79">
        <f t="shared" si="68"/>
        <v>518.40000000000009</v>
      </c>
      <c r="J63" s="79">
        <f t="shared" si="68"/>
        <v>460.79999999999995</v>
      </c>
      <c r="K63" s="79">
        <f t="shared" si="68"/>
        <v>403.20000000000005</v>
      </c>
      <c r="L63" s="79">
        <f t="shared" si="68"/>
        <v>345.6</v>
      </c>
      <c r="M63" s="79">
        <f t="shared" si="68"/>
        <v>345.6</v>
      </c>
      <c r="N63" s="79">
        <f t="shared" si="68"/>
        <v>288</v>
      </c>
      <c r="O63" s="79">
        <f t="shared" si="68"/>
        <v>230.39999999999998</v>
      </c>
      <c r="P63" s="79">
        <f t="shared" si="68"/>
        <v>230.39999999999998</v>
      </c>
      <c r="Q63" s="79">
        <f t="shared" si="68"/>
        <v>172.8</v>
      </c>
      <c r="R63" s="103"/>
    </row>
    <row r="64" spans="1:18" x14ac:dyDescent="0.25">
      <c r="A64" s="132">
        <f t="shared" si="62"/>
        <v>64</v>
      </c>
      <c r="B64" s="63" t="s">
        <v>72</v>
      </c>
      <c r="C64" s="198">
        <f>3*C61</f>
        <v>288</v>
      </c>
      <c r="D64" s="138">
        <f t="shared" ref="D64:Q64" si="69">D$12/(3*ROUNDDOWN(D$12/3,0))*3*D61</f>
        <v>691.2</v>
      </c>
      <c r="E64" s="79">
        <f t="shared" si="69"/>
        <v>633.59999999999991</v>
      </c>
      <c r="F64" s="79">
        <f t="shared" si="69"/>
        <v>633.59999999999991</v>
      </c>
      <c r="G64" s="79">
        <f t="shared" si="69"/>
        <v>576</v>
      </c>
      <c r="H64" s="79">
        <f t="shared" si="69"/>
        <v>518.40000000000009</v>
      </c>
      <c r="I64" s="79">
        <f t="shared" si="69"/>
        <v>518.40000000000009</v>
      </c>
      <c r="J64" s="79">
        <f t="shared" si="69"/>
        <v>460.79999999999995</v>
      </c>
      <c r="K64" s="79">
        <f t="shared" si="69"/>
        <v>403.20000000000005</v>
      </c>
      <c r="L64" s="79">
        <f t="shared" si="69"/>
        <v>345.6</v>
      </c>
      <c r="M64" s="79">
        <f t="shared" si="69"/>
        <v>345.6</v>
      </c>
      <c r="N64" s="79">
        <f t="shared" si="69"/>
        <v>288</v>
      </c>
      <c r="O64" s="79">
        <f t="shared" si="69"/>
        <v>230.39999999999998</v>
      </c>
      <c r="P64" s="79">
        <f t="shared" si="69"/>
        <v>230.39999999999998</v>
      </c>
      <c r="Q64" s="79">
        <f t="shared" si="69"/>
        <v>172.8</v>
      </c>
      <c r="R64" s="103"/>
    </row>
    <row r="65" spans="1:18" ht="15" customHeight="1" x14ac:dyDescent="0.25">
      <c r="A65" s="132">
        <f t="shared" si="1"/>
        <v>65</v>
      </c>
      <c r="B65" s="58" t="s">
        <v>73</v>
      </c>
      <c r="C65" s="197">
        <f>(C63+C64)/(1000*C2)</f>
        <v>0.69120000000000004</v>
      </c>
      <c r="D65" s="40">
        <f t="shared" ref="D65:Q65" si="70">IF(D47&gt;1,(D63+D64)/(1000*D2),"n/a")</f>
        <v>1.1520000000000001</v>
      </c>
      <c r="E65" s="40">
        <f t="shared" si="70"/>
        <v>1.1019130434782607</v>
      </c>
      <c r="F65" s="40">
        <f t="shared" si="70"/>
        <v>1.1520000000000001</v>
      </c>
      <c r="G65" s="40">
        <f t="shared" si="70"/>
        <v>1.0971428571428574</v>
      </c>
      <c r="H65" s="40">
        <f t="shared" si="70"/>
        <v>1.0368000000000004</v>
      </c>
      <c r="I65" s="40">
        <f t="shared" si="70"/>
        <v>1.091368421052632</v>
      </c>
      <c r="J65" s="40">
        <f t="shared" si="70"/>
        <v>1.0240000000000002</v>
      </c>
      <c r="K65" s="40">
        <f t="shared" si="70"/>
        <v>0.94870588235294162</v>
      </c>
      <c r="L65" s="40">
        <f t="shared" si="70"/>
        <v>0.86400000000000055</v>
      </c>
      <c r="M65" s="40">
        <f t="shared" si="70"/>
        <v>0.92160000000000064</v>
      </c>
      <c r="N65" s="40">
        <f t="shared" si="70"/>
        <v>0.8228571428571434</v>
      </c>
      <c r="O65" s="40">
        <f t="shared" si="70"/>
        <v>0.70892307692307743</v>
      </c>
      <c r="P65" s="40">
        <f t="shared" si="70"/>
        <v>0.76800000000000068</v>
      </c>
      <c r="Q65" s="40">
        <f t="shared" si="70"/>
        <v>0.62836363636363701</v>
      </c>
      <c r="R65" s="186" t="s">
        <v>91</v>
      </c>
    </row>
    <row r="66" spans="1:18" ht="15" customHeight="1" x14ac:dyDescent="0.25">
      <c r="A66" s="132">
        <f t="shared" si="1"/>
        <v>66</v>
      </c>
      <c r="B66" s="58"/>
      <c r="C66" s="197"/>
      <c r="D66" s="176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186"/>
    </row>
    <row r="67" spans="1:18" ht="30" x14ac:dyDescent="0.25">
      <c r="A67" s="132">
        <f t="shared" si="1"/>
        <v>67</v>
      </c>
      <c r="B67" s="92" t="s">
        <v>104</v>
      </c>
      <c r="C67" s="196">
        <f>C$12-3*ROUNDDOWN(C$12/3,0)</f>
        <v>0</v>
      </c>
      <c r="D67" s="177">
        <f t="shared" ref="D67:Q67" si="71">D$12-3*ROUNDDOWN(D$12/3,0)</f>
        <v>0</v>
      </c>
      <c r="E67" s="94">
        <f t="shared" si="71"/>
        <v>0</v>
      </c>
      <c r="F67" s="94">
        <f t="shared" si="71"/>
        <v>0</v>
      </c>
      <c r="G67" s="94">
        <f t="shared" si="71"/>
        <v>0</v>
      </c>
      <c r="H67" s="94">
        <f t="shared" si="71"/>
        <v>0</v>
      </c>
      <c r="I67" s="94">
        <f t="shared" si="71"/>
        <v>0</v>
      </c>
      <c r="J67" s="94">
        <f t="shared" si="71"/>
        <v>0</v>
      </c>
      <c r="K67" s="94">
        <f t="shared" si="71"/>
        <v>0</v>
      </c>
      <c r="L67" s="94">
        <f t="shared" si="71"/>
        <v>0</v>
      </c>
      <c r="M67" s="94">
        <f t="shared" si="71"/>
        <v>0</v>
      </c>
      <c r="N67" s="94">
        <f t="shared" si="71"/>
        <v>0</v>
      </c>
      <c r="O67" s="94">
        <f t="shared" si="71"/>
        <v>0</v>
      </c>
      <c r="P67" s="94">
        <f t="shared" si="71"/>
        <v>0</v>
      </c>
      <c r="Q67" s="94">
        <f t="shared" si="71"/>
        <v>0</v>
      </c>
      <c r="R67" s="190" t="s">
        <v>80</v>
      </c>
    </row>
    <row r="68" spans="1:18" x14ac:dyDescent="0.25">
      <c r="A68" s="132">
        <f t="shared" si="1"/>
        <v>68</v>
      </c>
      <c r="B68" s="92"/>
      <c r="C68" s="193"/>
      <c r="D68" s="178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90"/>
    </row>
    <row r="69" spans="1:18" x14ac:dyDescent="0.25">
      <c r="A69" s="132">
        <f t="shared" ref="A69:A70" si="72">A68+1</f>
        <v>69</v>
      </c>
      <c r="B69" s="58" t="s">
        <v>88</v>
      </c>
      <c r="C69" s="194" t="str">
        <f>IF((C47-1)/1&gt;10,"&gt; 10:1",IF((C47-1/1)&lt;1,"n/a",(C47-1)/1))</f>
        <v>&gt; 10:1</v>
      </c>
      <c r="D69" s="175" t="str">
        <f t="shared" ref="D69:Q69" si="73">IF((D47-1)/1&gt;10,"&gt; 10:1",IF((D47-1/1)&lt;1,"n/a",(D47-1)/1))</f>
        <v>&gt; 10:1</v>
      </c>
      <c r="E69" s="6" t="str">
        <f t="shared" si="73"/>
        <v>&gt; 10:1</v>
      </c>
      <c r="F69" s="6" t="str">
        <f t="shared" si="73"/>
        <v>&gt; 10:1</v>
      </c>
      <c r="G69" s="6" t="str">
        <f t="shared" si="73"/>
        <v>&gt; 10:1</v>
      </c>
      <c r="H69" s="6" t="str">
        <f t="shared" si="73"/>
        <v>&gt; 10:1</v>
      </c>
      <c r="I69" s="6" t="str">
        <f t="shared" si="73"/>
        <v>&gt; 10:1</v>
      </c>
      <c r="J69" s="6" t="str">
        <f t="shared" si="73"/>
        <v>&gt; 10:1</v>
      </c>
      <c r="K69" s="6" t="str">
        <f t="shared" si="73"/>
        <v>&gt; 10:1</v>
      </c>
      <c r="L69" s="6" t="str">
        <f t="shared" si="73"/>
        <v>&gt; 10:1</v>
      </c>
      <c r="M69" s="6" t="str">
        <f t="shared" si="73"/>
        <v>&gt; 10:1</v>
      </c>
      <c r="N69" s="6">
        <f t="shared" si="73"/>
        <v>9</v>
      </c>
      <c r="O69" s="6">
        <f t="shared" si="73"/>
        <v>7</v>
      </c>
      <c r="P69" s="6">
        <f t="shared" si="73"/>
        <v>7</v>
      </c>
      <c r="Q69" s="6">
        <f t="shared" si="73"/>
        <v>5</v>
      </c>
      <c r="R69" s="190"/>
    </row>
    <row r="70" spans="1:18" ht="15.75" thickBot="1" x14ac:dyDescent="0.3">
      <c r="A70" s="133">
        <f t="shared" si="72"/>
        <v>70</v>
      </c>
      <c r="B70" s="93" t="s">
        <v>82</v>
      </c>
      <c r="C70" s="195">
        <f>2*(C25-5)</f>
        <v>0</v>
      </c>
      <c r="D70" s="179">
        <f>2*(D25-5)</f>
        <v>0</v>
      </c>
      <c r="E70" s="101">
        <f t="shared" ref="E70:M70" si="74">2*(E25-5)</f>
        <v>0</v>
      </c>
      <c r="F70" s="101">
        <f t="shared" si="74"/>
        <v>0</v>
      </c>
      <c r="G70" s="101">
        <f t="shared" si="74"/>
        <v>0</v>
      </c>
      <c r="H70" s="101">
        <f t="shared" si="74"/>
        <v>0</v>
      </c>
      <c r="I70" s="101">
        <f t="shared" si="74"/>
        <v>0</v>
      </c>
      <c r="J70" s="101">
        <f t="shared" si="74"/>
        <v>0</v>
      </c>
      <c r="K70" s="101">
        <f t="shared" si="74"/>
        <v>0</v>
      </c>
      <c r="L70" s="101">
        <f t="shared" si="74"/>
        <v>0</v>
      </c>
      <c r="M70" s="101">
        <f t="shared" si="74"/>
        <v>0</v>
      </c>
      <c r="N70" s="101">
        <f t="shared" ref="N70:Q70" si="75">2*(N25-5)</f>
        <v>0</v>
      </c>
      <c r="O70" s="101">
        <f t="shared" si="75"/>
        <v>0</v>
      </c>
      <c r="P70" s="101">
        <f t="shared" si="75"/>
        <v>0</v>
      </c>
      <c r="Q70" s="101">
        <f t="shared" si="75"/>
        <v>0</v>
      </c>
      <c r="R70" s="191" t="s">
        <v>81</v>
      </c>
    </row>
    <row r="71" spans="1:18" x14ac:dyDescent="0.25">
      <c r="B71" s="86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4"/>
    </row>
    <row r="73" spans="1:18" x14ac:dyDescent="0.25">
      <c r="B73" s="4" t="s">
        <v>43</v>
      </c>
      <c r="C73" s="4"/>
      <c r="D73" s="85" t="s">
        <v>13</v>
      </c>
      <c r="E73" s="10" t="s">
        <v>39</v>
      </c>
    </row>
    <row r="74" spans="1:18" x14ac:dyDescent="0.25">
      <c r="D74" s="85" t="s">
        <v>20</v>
      </c>
      <c r="E74" s="10" t="s">
        <v>40</v>
      </c>
    </row>
    <row r="75" spans="1:18" x14ac:dyDescent="0.25">
      <c r="D75" s="85" t="s">
        <v>21</v>
      </c>
      <c r="E75" s="10" t="s">
        <v>41</v>
      </c>
    </row>
    <row r="76" spans="1:18" x14ac:dyDescent="0.25">
      <c r="D76" s="5" t="s">
        <v>22</v>
      </c>
      <c r="E76" s="10" t="s">
        <v>42</v>
      </c>
    </row>
    <row r="78" spans="1:18" x14ac:dyDescent="0.25">
      <c r="B78" s="4" t="s">
        <v>44</v>
      </c>
      <c r="C78" s="4"/>
      <c r="D78" s="9" t="s">
        <v>29</v>
      </c>
      <c r="E78" s="13"/>
    </row>
    <row r="79" spans="1:18" x14ac:dyDescent="0.25">
      <c r="D79" s="9" t="s">
        <v>30</v>
      </c>
      <c r="E79" s="13"/>
    </row>
    <row r="80" spans="1:18" x14ac:dyDescent="0.25">
      <c r="D80" s="9" t="s">
        <v>31</v>
      </c>
      <c r="E80" s="13"/>
    </row>
    <row r="81" spans="4:5" x14ac:dyDescent="0.25">
      <c r="E81" s="13"/>
    </row>
    <row r="82" spans="4:5" x14ac:dyDescent="0.25">
      <c r="D82" s="329">
        <f>D47</f>
        <v>24</v>
      </c>
      <c r="E82" s="13"/>
    </row>
    <row r="83" spans="4:5" x14ac:dyDescent="0.25">
      <c r="D83" s="5">
        <f>23</f>
        <v>23</v>
      </c>
      <c r="E83" s="13"/>
    </row>
  </sheetData>
  <sheetProtection algorithmName="SHA-512" hashValue="KtNuvW5GWpTRgTiU/Sf58vBH81G1KU9I6Oo4JFiFDFbHVPiSHdj7hWSUdHcKcBOSEbyg0Uv/HAVYvTSan+d4ZA==" saltValue="SLtfzI5MZMaQ2Jl6tktcDQ==" spinCount="100000" sheet="1" objects="1" scenarios="1"/>
  <mergeCells count="2">
    <mergeCell ref="R40:R44"/>
    <mergeCell ref="D1:Q1"/>
  </mergeCells>
  <dataValidations disablePrompts="1" count="10">
    <dataValidation type="list" allowBlank="1" showInputMessage="1" showErrorMessage="1" sqref="C4:Q4">
      <formula1>"AMC 2x3, AMC 1x6, AMC 1x3"</formula1>
    </dataValidation>
    <dataValidation type="list" allowBlank="1" showInputMessage="1" showErrorMessage="1" sqref="C8:Q8">
      <formula1>"1,=1/2,=1/3,=1/4"</formula1>
    </dataValidation>
    <dataValidation type="list" allowBlank="1" showInputMessage="1" showErrorMessage="1" sqref="C15:Q15">
      <formula1>$D$73:$D$76</formula1>
    </dataValidation>
    <dataValidation type="list" allowBlank="1" showInputMessage="1" showErrorMessage="1" sqref="C22:Q22">
      <formula1>$D$78:$D$80</formula1>
    </dataValidation>
    <dataValidation type="list" allowBlank="1" showInputMessage="1" showErrorMessage="1" sqref="C25">
      <formula1>"5,10,12.5,20,25,50"</formula1>
    </dataValidation>
    <dataValidation type="list" allowBlank="1" showInputMessage="1" showErrorMessage="1" sqref="C29:Q29">
      <formula1>"1,2,3,4"</formula1>
    </dataValidation>
    <dataValidation type="list" allowBlank="1" showInputMessage="1" showErrorMessage="1" sqref="C53:D53">
      <formula1>"1.0,1.4,1.6,1.8,2.0,2.2,2.4,2.6"</formula1>
    </dataValidation>
    <dataValidation type="list" allowBlank="1" showInputMessage="1" showErrorMessage="1" sqref="D25">
      <formula1>"5,10,12.5,20,25"</formula1>
    </dataValidation>
    <dataValidation type="list" allowBlank="1" showInputMessage="1" showErrorMessage="1" sqref="C37:D37">
      <formula1>"0,1,2,3,4,5"</formula1>
    </dataValidation>
    <dataValidation type="list" allowBlank="1" showInputMessage="1" showErrorMessage="1" sqref="C48:D48">
      <formula1>"0.1,0.25,0.5,.75,1,1.25,1.5,2.0,3,4,5,6,7,8,9,10"</formula1>
    </dataValidation>
  </dataValidations>
  <pageMargins left="0.7" right="0.7" top="0.75" bottom="0.75" header="0.3" footer="0.3"/>
  <pageSetup orientation="portrait" r:id="rId1"/>
  <headerFooter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1" max="1" width="3.85546875" customWidth="1"/>
    <col min="2" max="2" width="38.85546875" customWidth="1"/>
    <col min="3" max="11" width="11.7109375" customWidth="1"/>
    <col min="12" max="12" width="31.7109375" customWidth="1"/>
    <col min="13" max="26" width="11.7109375" customWidth="1"/>
  </cols>
  <sheetData>
    <row r="1" spans="1:16" x14ac:dyDescent="0.25">
      <c r="A1" s="131">
        <v>1</v>
      </c>
      <c r="B1" s="90" t="s">
        <v>89</v>
      </c>
      <c r="C1" s="346" t="s">
        <v>16</v>
      </c>
      <c r="D1" s="347"/>
      <c r="E1" s="347"/>
      <c r="F1" s="348"/>
      <c r="G1" s="346" t="s">
        <v>17</v>
      </c>
      <c r="H1" s="347"/>
      <c r="I1" s="348"/>
      <c r="J1" s="346" t="s">
        <v>18</v>
      </c>
      <c r="K1" s="348"/>
      <c r="L1" s="180" t="s">
        <v>56</v>
      </c>
    </row>
    <row r="2" spans="1:16" x14ac:dyDescent="0.25">
      <c r="A2" s="132">
        <f>A1+1</f>
        <v>2</v>
      </c>
      <c r="B2" s="59" t="s">
        <v>90</v>
      </c>
      <c r="C2" s="134">
        <v>0.5</v>
      </c>
      <c r="D2" s="135">
        <f>C2-0.05</f>
        <v>0.45</v>
      </c>
      <c r="E2" s="135">
        <f t="shared" ref="E2:K2" si="0">D2-0.05</f>
        <v>0.4</v>
      </c>
      <c r="F2" s="139">
        <f t="shared" si="0"/>
        <v>0.35000000000000003</v>
      </c>
      <c r="G2" s="136">
        <f t="shared" si="0"/>
        <v>0.30000000000000004</v>
      </c>
      <c r="H2" s="135">
        <f t="shared" si="0"/>
        <v>0.25000000000000006</v>
      </c>
      <c r="I2" s="139">
        <f t="shared" si="0"/>
        <v>0.20000000000000007</v>
      </c>
      <c r="J2" s="136">
        <f t="shared" si="0"/>
        <v>0.15000000000000008</v>
      </c>
      <c r="K2" s="139">
        <f t="shared" si="0"/>
        <v>0.10000000000000007</v>
      </c>
      <c r="L2" s="181"/>
      <c r="M2" s="7"/>
      <c r="N2" s="7"/>
      <c r="O2" s="7"/>
      <c r="P2" s="7"/>
    </row>
    <row r="3" spans="1:16" x14ac:dyDescent="0.25">
      <c r="A3" s="132">
        <f t="shared" ref="A3:A68" si="1">A2+1</f>
        <v>3</v>
      </c>
      <c r="B3" s="56" t="s">
        <v>14</v>
      </c>
      <c r="C3" s="28">
        <v>128</v>
      </c>
      <c r="D3" s="77">
        <f>C3</f>
        <v>128</v>
      </c>
      <c r="E3" s="77">
        <f t="shared" ref="E3:K3" si="2">D3</f>
        <v>128</v>
      </c>
      <c r="F3" s="140">
        <f t="shared" si="2"/>
        <v>128</v>
      </c>
      <c r="G3" s="18">
        <f t="shared" si="2"/>
        <v>128</v>
      </c>
      <c r="H3" s="77">
        <f t="shared" si="2"/>
        <v>128</v>
      </c>
      <c r="I3" s="140">
        <f t="shared" si="2"/>
        <v>128</v>
      </c>
      <c r="J3" s="18">
        <f t="shared" si="2"/>
        <v>128</v>
      </c>
      <c r="K3" s="140">
        <f t="shared" si="2"/>
        <v>128</v>
      </c>
      <c r="L3" s="182"/>
      <c r="M3" s="5"/>
      <c r="N3" s="5"/>
      <c r="O3" s="5"/>
      <c r="P3" s="5"/>
    </row>
    <row r="4" spans="1:16" x14ac:dyDescent="0.25">
      <c r="A4" s="132">
        <f t="shared" si="1"/>
        <v>4</v>
      </c>
      <c r="B4" s="57" t="s">
        <v>3</v>
      </c>
      <c r="C4" s="211" t="s">
        <v>86</v>
      </c>
      <c r="D4" s="77" t="str">
        <f>C4</f>
        <v>AMC 1x6</v>
      </c>
      <c r="E4" s="77" t="str">
        <f>D4</f>
        <v>AMC 1x6</v>
      </c>
      <c r="F4" s="140" t="str">
        <f>E4</f>
        <v>AMC 1x6</v>
      </c>
      <c r="G4" s="211" t="s">
        <v>59</v>
      </c>
      <c r="H4" s="77" t="str">
        <f>G4</f>
        <v>AMC 1x3</v>
      </c>
      <c r="I4" s="140" t="str">
        <f>H4</f>
        <v>AMC 1x3</v>
      </c>
      <c r="J4" s="211" t="s">
        <v>59</v>
      </c>
      <c r="K4" s="140" t="str">
        <f>J4</f>
        <v>AMC 1x3</v>
      </c>
      <c r="L4" s="182"/>
      <c r="M4" s="5"/>
      <c r="N4" s="5"/>
      <c r="O4" s="5"/>
      <c r="P4" s="5"/>
    </row>
    <row r="5" spans="1:16" x14ac:dyDescent="0.25">
      <c r="A5" s="132">
        <f t="shared" si="1"/>
        <v>5</v>
      </c>
      <c r="B5" s="58" t="s">
        <v>4</v>
      </c>
      <c r="C5" s="18">
        <v>1</v>
      </c>
      <c r="D5" s="77">
        <f t="shared" ref="D5:K9" si="3">C5</f>
        <v>1</v>
      </c>
      <c r="E5" s="77">
        <f t="shared" si="3"/>
        <v>1</v>
      </c>
      <c r="F5" s="140">
        <f t="shared" si="3"/>
        <v>1</v>
      </c>
      <c r="G5" s="18">
        <f t="shared" si="3"/>
        <v>1</v>
      </c>
      <c r="H5" s="77">
        <f t="shared" si="3"/>
        <v>1</v>
      </c>
      <c r="I5" s="140">
        <f t="shared" si="3"/>
        <v>1</v>
      </c>
      <c r="J5" s="18">
        <f t="shared" si="3"/>
        <v>1</v>
      </c>
      <c r="K5" s="140">
        <f t="shared" si="3"/>
        <v>1</v>
      </c>
      <c r="L5" s="174"/>
    </row>
    <row r="6" spans="1:16" x14ac:dyDescent="0.25">
      <c r="A6" s="132">
        <f t="shared" si="1"/>
        <v>6</v>
      </c>
      <c r="B6" s="58" t="s">
        <v>5</v>
      </c>
      <c r="C6" s="18">
        <v>10</v>
      </c>
      <c r="D6" s="77">
        <f t="shared" si="3"/>
        <v>10</v>
      </c>
      <c r="E6" s="77">
        <f t="shared" si="3"/>
        <v>10</v>
      </c>
      <c r="F6" s="140">
        <f t="shared" si="3"/>
        <v>10</v>
      </c>
      <c r="G6" s="18">
        <f t="shared" si="3"/>
        <v>10</v>
      </c>
      <c r="H6" s="77">
        <f t="shared" si="3"/>
        <v>10</v>
      </c>
      <c r="I6" s="140">
        <f t="shared" si="3"/>
        <v>10</v>
      </c>
      <c r="J6" s="18">
        <f t="shared" si="3"/>
        <v>10</v>
      </c>
      <c r="K6" s="140">
        <f t="shared" si="3"/>
        <v>10</v>
      </c>
      <c r="L6" s="174"/>
    </row>
    <row r="7" spans="1:16" x14ac:dyDescent="0.25">
      <c r="A7" s="132">
        <f t="shared" si="1"/>
        <v>7</v>
      </c>
      <c r="B7" s="58" t="s">
        <v>6</v>
      </c>
      <c r="C7" s="18">
        <v>9</v>
      </c>
      <c r="D7" s="77">
        <f t="shared" si="3"/>
        <v>9</v>
      </c>
      <c r="E7" s="77">
        <f t="shared" si="3"/>
        <v>9</v>
      </c>
      <c r="F7" s="140">
        <f t="shared" si="3"/>
        <v>9</v>
      </c>
      <c r="G7" s="18">
        <f t="shared" si="3"/>
        <v>9</v>
      </c>
      <c r="H7" s="77">
        <f t="shared" si="3"/>
        <v>9</v>
      </c>
      <c r="I7" s="140">
        <f t="shared" si="3"/>
        <v>9</v>
      </c>
      <c r="J7" s="18">
        <f t="shared" si="3"/>
        <v>9</v>
      </c>
      <c r="K7" s="140">
        <f t="shared" si="3"/>
        <v>9</v>
      </c>
      <c r="L7" s="174"/>
    </row>
    <row r="8" spans="1:16" x14ac:dyDescent="0.25">
      <c r="A8" s="132">
        <f t="shared" si="1"/>
        <v>8</v>
      </c>
      <c r="B8" s="58" t="s">
        <v>109</v>
      </c>
      <c r="C8" s="19">
        <f>1/2</f>
        <v>0.5</v>
      </c>
      <c r="D8" s="8">
        <f t="shared" ref="D8:F8" si="4">1/2</f>
        <v>0.5</v>
      </c>
      <c r="E8" s="8">
        <f t="shared" si="4"/>
        <v>0.5</v>
      </c>
      <c r="F8" s="141">
        <f t="shared" si="4"/>
        <v>0.5</v>
      </c>
      <c r="G8" s="19">
        <f>1/3</f>
        <v>0.33333333333333331</v>
      </c>
      <c r="H8" s="8">
        <f>1/3</f>
        <v>0.33333333333333331</v>
      </c>
      <c r="I8" s="141">
        <f>1/3</f>
        <v>0.33333333333333331</v>
      </c>
      <c r="J8" s="19">
        <f>1/4</f>
        <v>0.25</v>
      </c>
      <c r="K8" s="141">
        <f>1/4</f>
        <v>0.25</v>
      </c>
      <c r="L8" s="174"/>
    </row>
    <row r="9" spans="1:16" x14ac:dyDescent="0.25">
      <c r="A9" s="132">
        <f t="shared" si="1"/>
        <v>9</v>
      </c>
      <c r="B9" s="58" t="s">
        <v>7</v>
      </c>
      <c r="C9" s="18">
        <f>C8*(C3-C5-C6-C7)</f>
        <v>54</v>
      </c>
      <c r="D9" s="77">
        <f>C9</f>
        <v>54</v>
      </c>
      <c r="E9" s="77">
        <f t="shared" ref="E9:F9" si="5">D9</f>
        <v>54</v>
      </c>
      <c r="F9" s="140">
        <f t="shared" si="5"/>
        <v>54</v>
      </c>
      <c r="G9" s="18">
        <f>G8*(G3-G5-G6-G7)</f>
        <v>36</v>
      </c>
      <c r="H9" s="77">
        <f>G9</f>
        <v>36</v>
      </c>
      <c r="I9" s="140">
        <f t="shared" si="3"/>
        <v>36</v>
      </c>
      <c r="J9" s="18">
        <f>J8*(J3-J5-J6-J7)</f>
        <v>27</v>
      </c>
      <c r="K9" s="140">
        <f t="shared" si="3"/>
        <v>27</v>
      </c>
      <c r="L9" s="174"/>
    </row>
    <row r="10" spans="1:16" x14ac:dyDescent="0.25">
      <c r="A10" s="132">
        <f t="shared" si="1"/>
        <v>10</v>
      </c>
      <c r="B10" s="58" t="s">
        <v>8</v>
      </c>
      <c r="C10" s="18">
        <f>C9/9</f>
        <v>6</v>
      </c>
      <c r="D10" s="77">
        <f t="shared" ref="D10:K10" si="6">D9/9</f>
        <v>6</v>
      </c>
      <c r="E10" s="77">
        <f t="shared" si="6"/>
        <v>6</v>
      </c>
      <c r="F10" s="140">
        <f t="shared" si="6"/>
        <v>6</v>
      </c>
      <c r="G10" s="18">
        <f t="shared" si="6"/>
        <v>4</v>
      </c>
      <c r="H10" s="77">
        <f t="shared" si="6"/>
        <v>4</v>
      </c>
      <c r="I10" s="140">
        <f t="shared" si="6"/>
        <v>4</v>
      </c>
      <c r="J10" s="18">
        <f t="shared" si="6"/>
        <v>3</v>
      </c>
      <c r="K10" s="140">
        <f t="shared" si="6"/>
        <v>3</v>
      </c>
      <c r="L10" s="174"/>
    </row>
    <row r="11" spans="1:16" x14ac:dyDescent="0.25">
      <c r="A11" s="132">
        <f t="shared" si="1"/>
        <v>11</v>
      </c>
      <c r="B11" s="58" t="s">
        <v>9</v>
      </c>
      <c r="C11" s="18">
        <f>C9-C10</f>
        <v>48</v>
      </c>
      <c r="D11" s="77">
        <f t="shared" ref="D11:K11" si="7">D9-D10</f>
        <v>48</v>
      </c>
      <c r="E11" s="77">
        <f t="shared" si="7"/>
        <v>48</v>
      </c>
      <c r="F11" s="140">
        <f t="shared" si="7"/>
        <v>48</v>
      </c>
      <c r="G11" s="18">
        <f t="shared" si="7"/>
        <v>32</v>
      </c>
      <c r="H11" s="77">
        <f t="shared" si="7"/>
        <v>32</v>
      </c>
      <c r="I11" s="140">
        <f t="shared" si="7"/>
        <v>32</v>
      </c>
      <c r="J11" s="18">
        <f t="shared" si="7"/>
        <v>24</v>
      </c>
      <c r="K11" s="140">
        <f t="shared" si="7"/>
        <v>24</v>
      </c>
      <c r="L11" s="174"/>
    </row>
    <row r="12" spans="1:16" x14ac:dyDescent="0.25">
      <c r="A12" s="132">
        <f t="shared" si="1"/>
        <v>12</v>
      </c>
      <c r="B12" s="59" t="s">
        <v>77</v>
      </c>
      <c r="C12" s="81">
        <f>ROUNDDOWN(IF(C4="AMC 2x3",6,IF(C4="AMC 1x6",12,IF(C4="AMC 1x3",12,0)))*C8,0)</f>
        <v>6</v>
      </c>
      <c r="D12" s="76">
        <f t="shared" ref="D12:K12" si="8">ROUNDDOWN(IF(D4="AMC 2x3",6,IF(D4="AMC 1x6",12,IF(D4="AMC 1x3",12,0)))*D8,0)</f>
        <v>6</v>
      </c>
      <c r="E12" s="76">
        <f t="shared" si="8"/>
        <v>6</v>
      </c>
      <c r="F12" s="142">
        <f t="shared" si="8"/>
        <v>6</v>
      </c>
      <c r="G12" s="81">
        <f t="shared" si="8"/>
        <v>4</v>
      </c>
      <c r="H12" s="76">
        <f t="shared" si="8"/>
        <v>4</v>
      </c>
      <c r="I12" s="142">
        <f t="shared" si="8"/>
        <v>4</v>
      </c>
      <c r="J12" s="81">
        <f t="shared" si="8"/>
        <v>3</v>
      </c>
      <c r="K12" s="142">
        <f t="shared" si="8"/>
        <v>3</v>
      </c>
      <c r="L12" s="174"/>
    </row>
    <row r="13" spans="1:16" x14ac:dyDescent="0.25">
      <c r="A13" s="132">
        <f t="shared" si="1"/>
        <v>13</v>
      </c>
      <c r="B13" s="58" t="s">
        <v>10</v>
      </c>
      <c r="C13" s="18">
        <f>C11/C12</f>
        <v>8</v>
      </c>
      <c r="D13" s="77">
        <f t="shared" ref="D13:K13" si="9">D11/D12</f>
        <v>8</v>
      </c>
      <c r="E13" s="77">
        <f t="shared" si="9"/>
        <v>8</v>
      </c>
      <c r="F13" s="140">
        <f t="shared" si="9"/>
        <v>8</v>
      </c>
      <c r="G13" s="18">
        <f t="shared" si="9"/>
        <v>8</v>
      </c>
      <c r="H13" s="77">
        <f t="shared" si="9"/>
        <v>8</v>
      </c>
      <c r="I13" s="140">
        <f t="shared" si="9"/>
        <v>8</v>
      </c>
      <c r="J13" s="18">
        <f t="shared" si="9"/>
        <v>8</v>
      </c>
      <c r="K13" s="140">
        <f t="shared" si="9"/>
        <v>8</v>
      </c>
      <c r="L13" s="174"/>
    </row>
    <row r="14" spans="1:16" x14ac:dyDescent="0.25">
      <c r="A14" s="132">
        <f t="shared" si="1"/>
        <v>14</v>
      </c>
      <c r="B14" s="58" t="s">
        <v>11</v>
      </c>
      <c r="C14" s="18">
        <f>C10/C12</f>
        <v>1</v>
      </c>
      <c r="D14" s="77">
        <f t="shared" ref="D14:K14" si="10">D10/D12</f>
        <v>1</v>
      </c>
      <c r="E14" s="77">
        <f t="shared" si="10"/>
        <v>1</v>
      </c>
      <c r="F14" s="140">
        <f t="shared" si="10"/>
        <v>1</v>
      </c>
      <c r="G14" s="18">
        <f t="shared" si="10"/>
        <v>1</v>
      </c>
      <c r="H14" s="77">
        <f t="shared" si="10"/>
        <v>1</v>
      </c>
      <c r="I14" s="140">
        <f t="shared" si="10"/>
        <v>1</v>
      </c>
      <c r="J14" s="18">
        <f t="shared" si="10"/>
        <v>1</v>
      </c>
      <c r="K14" s="140">
        <f t="shared" si="10"/>
        <v>1</v>
      </c>
      <c r="L14" s="174"/>
    </row>
    <row r="15" spans="1:16" x14ac:dyDescent="0.25">
      <c r="A15" s="132">
        <f t="shared" si="1"/>
        <v>15</v>
      </c>
      <c r="B15" s="58" t="s">
        <v>0</v>
      </c>
      <c r="C15" s="20" t="s">
        <v>20</v>
      </c>
      <c r="D15" s="11" t="s">
        <v>20</v>
      </c>
      <c r="E15" s="11" t="s">
        <v>20</v>
      </c>
      <c r="F15" s="143" t="s">
        <v>20</v>
      </c>
      <c r="G15" s="20" t="s">
        <v>21</v>
      </c>
      <c r="H15" s="11" t="s">
        <v>21</v>
      </c>
      <c r="I15" s="143" t="s">
        <v>21</v>
      </c>
      <c r="J15" s="20" t="s">
        <v>22</v>
      </c>
      <c r="K15" s="143" t="s">
        <v>22</v>
      </c>
      <c r="L15" s="174"/>
    </row>
    <row r="16" spans="1:16" x14ac:dyDescent="0.25">
      <c r="A16" s="132">
        <f t="shared" si="1"/>
        <v>16</v>
      </c>
      <c r="B16" s="58" t="s">
        <v>23</v>
      </c>
      <c r="C16" s="20">
        <f>C2*(IF(C15="28/25",28/25,IF(C15="11/5",11/5,IF(C15="82/25",82/25,IF(C15="109/25",109/25)))))</f>
        <v>1.1000000000000001</v>
      </c>
      <c r="D16" s="11">
        <f>D2*(IF(D15="28/25",28/25,IF(D15="11/5",11/5,IF(D15="82/25",82/25,IF(D15="109/25",109/25)))))</f>
        <v>0.9900000000000001</v>
      </c>
      <c r="E16" s="11">
        <f>E2*(IF(E15="28/25",28/25,IF(E15="11/5",11/5,IF(E15="82/25",82/25,IF(E15="109/25",109/25)))))</f>
        <v>0.88000000000000012</v>
      </c>
      <c r="F16" s="143">
        <f>F2*(IF(F15="28/25",28/25,IF(F15="11/5",11/5,IF(F15="82/25",82/25,IF(F15="109/25",109/25)))))</f>
        <v>0.77000000000000013</v>
      </c>
      <c r="G16" s="20">
        <f t="shared" ref="G16:K16" si="11">G2*(IF(G15="28/25",28/25,IF(G15="11/5",11/5,IF(G15="82/25",82/25,IF(G15="109/25",109/25)))))</f>
        <v>0.9840000000000001</v>
      </c>
      <c r="H16" s="11">
        <f t="shared" si="11"/>
        <v>0.82000000000000017</v>
      </c>
      <c r="I16" s="143">
        <f t="shared" si="11"/>
        <v>0.65600000000000014</v>
      </c>
      <c r="J16" s="20">
        <f t="shared" si="11"/>
        <v>0.65400000000000036</v>
      </c>
      <c r="K16" s="143">
        <f t="shared" si="11"/>
        <v>0.43600000000000033</v>
      </c>
      <c r="L16" s="174"/>
    </row>
    <row r="17" spans="1:12" x14ac:dyDescent="0.25">
      <c r="A17" s="132">
        <f t="shared" si="1"/>
        <v>17</v>
      </c>
      <c r="B17" s="58" t="s">
        <v>12</v>
      </c>
      <c r="C17" s="21">
        <f>1000*C16/C3</f>
        <v>8.59375</v>
      </c>
      <c r="D17" s="12">
        <f t="shared" ref="D17:K17" si="12">1000*D16/D3</f>
        <v>7.7343750000000009</v>
      </c>
      <c r="E17" s="12">
        <f t="shared" si="12"/>
        <v>6.8750000000000009</v>
      </c>
      <c r="F17" s="144">
        <f t="shared" si="12"/>
        <v>6.0156250000000009</v>
      </c>
      <c r="G17" s="21">
        <f t="shared" si="12"/>
        <v>7.6875000000000009</v>
      </c>
      <c r="H17" s="12">
        <f t="shared" si="12"/>
        <v>6.4062500000000018</v>
      </c>
      <c r="I17" s="144">
        <f t="shared" si="12"/>
        <v>5.1250000000000009</v>
      </c>
      <c r="J17" s="21">
        <f t="shared" si="12"/>
        <v>5.1093750000000027</v>
      </c>
      <c r="K17" s="144">
        <f t="shared" si="12"/>
        <v>3.4062500000000027</v>
      </c>
      <c r="L17" s="174"/>
    </row>
    <row r="18" spans="1:12" x14ac:dyDescent="0.25">
      <c r="A18" s="132">
        <f t="shared" si="1"/>
        <v>18</v>
      </c>
      <c r="B18" s="58" t="s">
        <v>25</v>
      </c>
      <c r="C18" s="20">
        <f>(C9+1)*C17/1000</f>
        <v>0.47265625</v>
      </c>
      <c r="D18" s="11">
        <f t="shared" ref="D18:K18" si="13">(D9+1)*D17/1000</f>
        <v>0.42539062500000008</v>
      </c>
      <c r="E18" s="11">
        <f t="shared" si="13"/>
        <v>0.37812500000000004</v>
      </c>
      <c r="F18" s="143">
        <f t="shared" si="13"/>
        <v>0.33085937500000007</v>
      </c>
      <c r="G18" s="20">
        <f t="shared" si="13"/>
        <v>0.28443750000000007</v>
      </c>
      <c r="H18" s="11">
        <f t="shared" si="13"/>
        <v>0.23703125000000005</v>
      </c>
      <c r="I18" s="143">
        <f t="shared" si="13"/>
        <v>0.18962500000000002</v>
      </c>
      <c r="J18" s="20">
        <f t="shared" si="13"/>
        <v>0.14306250000000009</v>
      </c>
      <c r="K18" s="143">
        <f t="shared" si="13"/>
        <v>9.5375000000000071E-2</v>
      </c>
      <c r="L18" s="174"/>
    </row>
    <row r="19" spans="1:12" x14ac:dyDescent="0.25">
      <c r="A19" s="132">
        <f t="shared" si="1"/>
        <v>19</v>
      </c>
      <c r="B19" s="58" t="s">
        <v>26</v>
      </c>
      <c r="C19" s="22">
        <f>C18/C2</f>
        <v>0.9453125</v>
      </c>
      <c r="D19" s="80">
        <f t="shared" ref="D19:K19" si="14">D18/D2</f>
        <v>0.94531250000000011</v>
      </c>
      <c r="E19" s="80">
        <f t="shared" si="14"/>
        <v>0.94531250000000011</v>
      </c>
      <c r="F19" s="145">
        <f t="shared" si="14"/>
        <v>0.94531250000000011</v>
      </c>
      <c r="G19" s="22">
        <f t="shared" si="14"/>
        <v>0.94812500000000011</v>
      </c>
      <c r="H19" s="80">
        <f t="shared" si="14"/>
        <v>0.948125</v>
      </c>
      <c r="I19" s="145">
        <f t="shared" si="14"/>
        <v>0.94812499999999977</v>
      </c>
      <c r="J19" s="22">
        <f t="shared" si="14"/>
        <v>0.9537500000000001</v>
      </c>
      <c r="K19" s="145">
        <f t="shared" si="14"/>
        <v>0.95374999999999999</v>
      </c>
      <c r="L19" s="174"/>
    </row>
    <row r="20" spans="1:12" x14ac:dyDescent="0.25">
      <c r="A20" s="132">
        <f t="shared" si="1"/>
        <v>20</v>
      </c>
      <c r="B20" s="58" t="s">
        <v>37</v>
      </c>
      <c r="C20" s="23">
        <f>(C13+C14)*C17/1000</f>
        <v>7.7343750000000003E-2</v>
      </c>
      <c r="D20" s="16">
        <f t="shared" ref="D20:K20" si="15">(D13+D14)*D17/1000</f>
        <v>6.9609375000000015E-2</v>
      </c>
      <c r="E20" s="16">
        <f t="shared" si="15"/>
        <v>6.1875000000000006E-2</v>
      </c>
      <c r="F20" s="146">
        <f t="shared" si="15"/>
        <v>5.4140625000000005E-2</v>
      </c>
      <c r="G20" s="23">
        <f t="shared" si="15"/>
        <v>6.9187500000000013E-2</v>
      </c>
      <c r="H20" s="16">
        <f t="shared" si="15"/>
        <v>5.7656250000000013E-2</v>
      </c>
      <c r="I20" s="146">
        <f t="shared" si="15"/>
        <v>4.6125000000000006E-2</v>
      </c>
      <c r="J20" s="23">
        <f t="shared" si="15"/>
        <v>4.5984375000000022E-2</v>
      </c>
      <c r="K20" s="146">
        <f t="shared" si="15"/>
        <v>3.0656250000000024E-2</v>
      </c>
      <c r="L20" s="174"/>
    </row>
    <row r="21" spans="1:12" x14ac:dyDescent="0.25">
      <c r="A21" s="132">
        <f t="shared" si="1"/>
        <v>21</v>
      </c>
      <c r="B21" s="58" t="s">
        <v>27</v>
      </c>
      <c r="C21" s="24">
        <f>1000/C17</f>
        <v>116.36363636363636</v>
      </c>
      <c r="D21" s="2">
        <f t="shared" ref="D21:K21" si="16">1000/D17</f>
        <v>129.29292929292927</v>
      </c>
      <c r="E21" s="2">
        <f t="shared" si="16"/>
        <v>145.45454545454544</v>
      </c>
      <c r="F21" s="147">
        <f t="shared" si="16"/>
        <v>166.2337662337662</v>
      </c>
      <c r="G21" s="24">
        <f t="shared" si="16"/>
        <v>130.08130081300811</v>
      </c>
      <c r="H21" s="2">
        <f t="shared" si="16"/>
        <v>156.09756097560972</v>
      </c>
      <c r="I21" s="147">
        <f t="shared" si="16"/>
        <v>195.12195121951217</v>
      </c>
      <c r="J21" s="24">
        <f t="shared" si="16"/>
        <v>195.71865443425065</v>
      </c>
      <c r="K21" s="147">
        <f t="shared" si="16"/>
        <v>293.57798165137592</v>
      </c>
      <c r="L21" s="174"/>
    </row>
    <row r="22" spans="1:12" x14ac:dyDescent="0.25">
      <c r="A22" s="132">
        <f t="shared" si="1"/>
        <v>22</v>
      </c>
      <c r="B22" s="57" t="s">
        <v>28</v>
      </c>
      <c r="C22" s="214" t="s">
        <v>30</v>
      </c>
      <c r="D22" s="14" t="str">
        <f>C22</f>
        <v>1/16</v>
      </c>
      <c r="E22" s="14" t="str">
        <f>D22</f>
        <v>1/16</v>
      </c>
      <c r="F22" s="148" t="str">
        <f>E22</f>
        <v>1/16</v>
      </c>
      <c r="G22" s="214" t="s">
        <v>30</v>
      </c>
      <c r="H22" s="14" t="str">
        <f>G22</f>
        <v>1/16</v>
      </c>
      <c r="I22" s="148" t="str">
        <f>H22</f>
        <v>1/16</v>
      </c>
      <c r="J22" s="214" t="s">
        <v>30</v>
      </c>
      <c r="K22" s="148" t="str">
        <f>J22</f>
        <v>1/16</v>
      </c>
      <c r="L22" s="174"/>
    </row>
    <row r="23" spans="1:12" x14ac:dyDescent="0.25">
      <c r="A23" s="132">
        <f t="shared" si="1"/>
        <v>23</v>
      </c>
      <c r="B23" s="58" t="s">
        <v>32</v>
      </c>
      <c r="C23" s="24">
        <f>'1-SubGroup 4'!D21*(IF(C22="1/8",1/8,IF(C22="1/16",1/16,IF(C22="1/32",1/32))))</f>
        <v>5.9523809523809526</v>
      </c>
      <c r="D23" s="2">
        <f>'1-SubGroup 4'!E21*(IF(D22="1/8",1/8,IF(D22="1/16",1/16,IF(D22="1/32",1/32))))</f>
        <v>6.2111801242236027</v>
      </c>
      <c r="E23" s="2">
        <f>'1-SubGroup 4'!F21*(IF(E22="1/8",1/8,IF(E22="1/16",1/16,IF(E22="1/32",1/32))))</f>
        <v>6.4935064935064934</v>
      </c>
      <c r="F23" s="147">
        <f>'1-SubGroup 4'!G21*(IF(F22="1/8",1/8,IF(F22="1/16",1/16,IF(F22="1/32",1/32))))</f>
        <v>6.8027210884353737</v>
      </c>
      <c r="G23" s="24">
        <f>'1-SubGroup 4'!H21*(IF(G22="1/8",1/8,IF(G22="1/16",1/16,IF(G22="1/32",1/32))))</f>
        <v>7.1428571428571441</v>
      </c>
      <c r="H23" s="2">
        <f>'1-SubGroup 4'!I21*(IF(H22="1/8",1/8,IF(H22="1/16",1/16,IF(H22="1/32",1/32))))</f>
        <v>7.5187969924812048</v>
      </c>
      <c r="I23" s="147">
        <f>'1-SubGroup 4'!J21*(IF(I22="1/8",1/8,IF(I22="1/16",1/16,IF(I22="1/32",1/32))))</f>
        <v>7.9365079365079385</v>
      </c>
      <c r="J23" s="24">
        <f>'1-SubGroup 4'!K21*(IF(J22="1/8",1/8,IF(J22="1/16",1/16,IF(J22="1/32",1/32))))</f>
        <v>8.4033613445378172</v>
      </c>
      <c r="K23" s="147">
        <f>'1-SubGroup 4'!L21*(IF(K22="1/8",1/8,IF(K22="1/16",1/16,IF(K22="1/32",1/32))))</f>
        <v>8.9285714285714324</v>
      </c>
      <c r="L23" s="174"/>
    </row>
    <row r="24" spans="1:12" x14ac:dyDescent="0.25">
      <c r="A24" s="132">
        <f t="shared" si="1"/>
        <v>24</v>
      </c>
      <c r="B24" s="58" t="s">
        <v>33</v>
      </c>
      <c r="C24" s="24">
        <f>C21+C23</f>
        <v>122.31601731601731</v>
      </c>
      <c r="D24" s="2">
        <f t="shared" ref="D24:K24" si="17">D21+D23</f>
        <v>135.50410941715288</v>
      </c>
      <c r="E24" s="2">
        <f t="shared" si="17"/>
        <v>151.94805194805193</v>
      </c>
      <c r="F24" s="147">
        <f t="shared" si="17"/>
        <v>173.03648732220157</v>
      </c>
      <c r="G24" s="24">
        <f t="shared" si="17"/>
        <v>137.22415795586525</v>
      </c>
      <c r="H24" s="2">
        <f t="shared" si="17"/>
        <v>163.61635796809094</v>
      </c>
      <c r="I24" s="147">
        <f t="shared" si="17"/>
        <v>203.05845915602012</v>
      </c>
      <c r="J24" s="24">
        <f t="shared" si="17"/>
        <v>204.12201577878847</v>
      </c>
      <c r="K24" s="147">
        <f t="shared" si="17"/>
        <v>302.50655307994737</v>
      </c>
      <c r="L24" s="174"/>
    </row>
    <row r="25" spans="1:12" x14ac:dyDescent="0.25">
      <c r="A25" s="132">
        <f t="shared" si="1"/>
        <v>25</v>
      </c>
      <c r="B25" s="57" t="s">
        <v>97</v>
      </c>
      <c r="C25" s="216">
        <v>10</v>
      </c>
      <c r="D25" s="3">
        <f>C25</f>
        <v>10</v>
      </c>
      <c r="E25" s="3">
        <f>D25</f>
        <v>10</v>
      </c>
      <c r="F25" s="149">
        <f>E25</f>
        <v>10</v>
      </c>
      <c r="G25" s="216">
        <v>20</v>
      </c>
      <c r="H25" s="3">
        <f>G25</f>
        <v>20</v>
      </c>
      <c r="I25" s="149">
        <f>H25</f>
        <v>20</v>
      </c>
      <c r="J25" s="216">
        <v>25</v>
      </c>
      <c r="K25" s="149">
        <f>J25</f>
        <v>25</v>
      </c>
      <c r="L25" s="174"/>
    </row>
    <row r="26" spans="1:12" x14ac:dyDescent="0.25">
      <c r="A26" s="132">
        <f t="shared" si="1"/>
        <v>26</v>
      </c>
      <c r="B26" s="58" t="s">
        <v>35</v>
      </c>
      <c r="C26" s="25">
        <f>1000*1/C25</f>
        <v>100</v>
      </c>
      <c r="D26" s="6">
        <f t="shared" ref="D26:K26" si="18">1000*1/D25</f>
        <v>100</v>
      </c>
      <c r="E26" s="6">
        <f t="shared" si="18"/>
        <v>100</v>
      </c>
      <c r="F26" s="150">
        <f t="shared" si="18"/>
        <v>100</v>
      </c>
      <c r="G26" s="25">
        <f t="shared" si="18"/>
        <v>50</v>
      </c>
      <c r="H26" s="6">
        <f t="shared" si="18"/>
        <v>50</v>
      </c>
      <c r="I26" s="150">
        <f t="shared" si="18"/>
        <v>50</v>
      </c>
      <c r="J26" s="25">
        <f t="shared" si="18"/>
        <v>40</v>
      </c>
      <c r="K26" s="150">
        <f t="shared" si="18"/>
        <v>40</v>
      </c>
      <c r="L26" s="174"/>
    </row>
    <row r="27" spans="1:12" x14ac:dyDescent="0.25">
      <c r="A27" s="132">
        <f t="shared" si="1"/>
        <v>27</v>
      </c>
      <c r="B27" s="58" t="s">
        <v>34</v>
      </c>
      <c r="C27" s="25">
        <f>(10^3)*C16*C25</f>
        <v>11000</v>
      </c>
      <c r="D27" s="6">
        <f t="shared" ref="D27:K27" si="19">(10^3)*D16*D25</f>
        <v>9900.0000000000018</v>
      </c>
      <c r="E27" s="6">
        <f t="shared" si="19"/>
        <v>8800.0000000000018</v>
      </c>
      <c r="F27" s="150">
        <f t="shared" si="19"/>
        <v>7700.0000000000009</v>
      </c>
      <c r="G27" s="25">
        <f t="shared" si="19"/>
        <v>19680.000000000004</v>
      </c>
      <c r="H27" s="6">
        <f t="shared" si="19"/>
        <v>16400.000000000004</v>
      </c>
      <c r="I27" s="150">
        <f t="shared" si="19"/>
        <v>13120.000000000002</v>
      </c>
      <c r="J27" s="25">
        <f t="shared" si="19"/>
        <v>16350.000000000009</v>
      </c>
      <c r="K27" s="150">
        <f t="shared" si="19"/>
        <v>10900.000000000009</v>
      </c>
      <c r="L27" s="174"/>
    </row>
    <row r="28" spans="1:12" x14ac:dyDescent="0.25">
      <c r="A28" s="132">
        <f t="shared" si="1"/>
        <v>28</v>
      </c>
      <c r="B28" s="59" t="s">
        <v>83</v>
      </c>
      <c r="C28" s="53">
        <f>ROUNDDOWN(1000*C25/C24,0)</f>
        <v>81</v>
      </c>
      <c r="D28" s="47">
        <f t="shared" ref="D28:K28" si="20">ROUNDDOWN(1000*D25/D24,0)</f>
        <v>73</v>
      </c>
      <c r="E28" s="47">
        <f t="shared" si="20"/>
        <v>65</v>
      </c>
      <c r="F28" s="151">
        <f t="shared" si="20"/>
        <v>57</v>
      </c>
      <c r="G28" s="53">
        <f t="shared" si="20"/>
        <v>145</v>
      </c>
      <c r="H28" s="47">
        <f t="shared" si="20"/>
        <v>122</v>
      </c>
      <c r="I28" s="151">
        <f t="shared" si="20"/>
        <v>98</v>
      </c>
      <c r="J28" s="53">
        <f t="shared" si="20"/>
        <v>122</v>
      </c>
      <c r="K28" s="151">
        <f t="shared" si="20"/>
        <v>82</v>
      </c>
      <c r="L28" s="174"/>
    </row>
    <row r="29" spans="1:12" x14ac:dyDescent="0.25">
      <c r="A29" s="132">
        <f t="shared" si="1"/>
        <v>29</v>
      </c>
      <c r="B29" s="58" t="s">
        <v>36</v>
      </c>
      <c r="C29" s="45">
        <v>1</v>
      </c>
      <c r="D29" s="31">
        <v>1</v>
      </c>
      <c r="E29" s="31">
        <v>1</v>
      </c>
      <c r="F29" s="152">
        <v>1</v>
      </c>
      <c r="G29" s="45">
        <v>1</v>
      </c>
      <c r="H29" s="31">
        <v>1</v>
      </c>
      <c r="I29" s="152">
        <v>1</v>
      </c>
      <c r="J29" s="45">
        <v>1</v>
      </c>
      <c r="K29" s="152">
        <v>1</v>
      </c>
      <c r="L29" s="174"/>
    </row>
    <row r="30" spans="1:12" x14ac:dyDescent="0.25">
      <c r="A30" s="132">
        <f t="shared" si="1"/>
        <v>30</v>
      </c>
      <c r="B30" s="58" t="s">
        <v>79</v>
      </c>
      <c r="C30" s="44">
        <f>C28-C29</f>
        <v>80</v>
      </c>
      <c r="D30" s="33">
        <f t="shared" ref="D30:K30" si="21">D28-D29</f>
        <v>72</v>
      </c>
      <c r="E30" s="33">
        <f t="shared" si="21"/>
        <v>64</v>
      </c>
      <c r="F30" s="153">
        <f t="shared" si="21"/>
        <v>56</v>
      </c>
      <c r="G30" s="44">
        <f t="shared" si="21"/>
        <v>144</v>
      </c>
      <c r="H30" s="33">
        <f t="shared" si="21"/>
        <v>121</v>
      </c>
      <c r="I30" s="153">
        <f t="shared" si="21"/>
        <v>97</v>
      </c>
      <c r="J30" s="44">
        <f t="shared" si="21"/>
        <v>121</v>
      </c>
      <c r="K30" s="153">
        <f t="shared" si="21"/>
        <v>81</v>
      </c>
      <c r="L30" s="174"/>
    </row>
    <row r="31" spans="1:12" x14ac:dyDescent="0.25">
      <c r="A31" s="132">
        <f t="shared" si="1"/>
        <v>31</v>
      </c>
      <c r="B31" s="56" t="s">
        <v>1</v>
      </c>
      <c r="C31" s="26">
        <f>1000*C25-(C28-C29)*C24</f>
        <v>214.71861471861484</v>
      </c>
      <c r="D31" s="1">
        <f t="shared" ref="D31:K31" si="22">1000*D25-(D28-D29)*D24</f>
        <v>243.70412196499274</v>
      </c>
      <c r="E31" s="1">
        <f t="shared" si="22"/>
        <v>275.32467532467672</v>
      </c>
      <c r="F31" s="154">
        <f t="shared" si="22"/>
        <v>309.95670995671207</v>
      </c>
      <c r="G31" s="26">
        <f t="shared" si="22"/>
        <v>239.72125435540511</v>
      </c>
      <c r="H31" s="1">
        <f t="shared" si="22"/>
        <v>202.42068586099776</v>
      </c>
      <c r="I31" s="154">
        <f t="shared" si="22"/>
        <v>303.3294618660475</v>
      </c>
      <c r="J31" s="26">
        <f t="shared" si="22"/>
        <v>301.23609076659704</v>
      </c>
      <c r="K31" s="154">
        <f t="shared" si="22"/>
        <v>496.96920052426503</v>
      </c>
      <c r="L31" s="174"/>
    </row>
    <row r="32" spans="1:12" x14ac:dyDescent="0.25">
      <c r="A32" s="132">
        <f t="shared" si="1"/>
        <v>32</v>
      </c>
      <c r="B32" s="60" t="s">
        <v>38</v>
      </c>
      <c r="C32" s="27">
        <f>(1000*C25-(C28-C29)*C24)/(2*1.6093*3.3356)</f>
        <v>19.999941460171357</v>
      </c>
      <c r="D32" s="15">
        <f t="shared" ref="D32:K32" si="23">(1000*D25-(D28-D29)*D24)/(2*1.6093*3.3356)</f>
        <v>22.69979330525069</v>
      </c>
      <c r="E32" s="15">
        <f t="shared" si="23"/>
        <v>25.645086227155325</v>
      </c>
      <c r="F32" s="155">
        <f t="shared" si="23"/>
        <v>28.870883236860447</v>
      </c>
      <c r="G32" s="27">
        <f t="shared" si="23"/>
        <v>22.328809545227116</v>
      </c>
      <c r="H32" s="15">
        <f t="shared" si="23"/>
        <v>18.854452246038633</v>
      </c>
      <c r="I32" s="155">
        <f t="shared" si="23"/>
        <v>28.253588951364886</v>
      </c>
      <c r="J32" s="27">
        <f t="shared" si="23"/>
        <v>28.05860213339249</v>
      </c>
      <c r="K32" s="155">
        <f t="shared" si="23"/>
        <v>46.290140847913072</v>
      </c>
      <c r="L32" s="174"/>
    </row>
    <row r="33" spans="1:12" x14ac:dyDescent="0.25">
      <c r="A33" s="132">
        <f t="shared" si="1"/>
        <v>33</v>
      </c>
      <c r="B33" s="60" t="s">
        <v>2</v>
      </c>
      <c r="C33" s="335">
        <f t="shared" ref="C33:K33" si="24">ROUNDUP(((2*40*1609.34/299.79)+C28*C24-1000*C25)/C24,0)</f>
        <v>3</v>
      </c>
      <c r="D33" s="333">
        <f t="shared" si="24"/>
        <v>3</v>
      </c>
      <c r="E33" s="333">
        <f t="shared" si="24"/>
        <v>3</v>
      </c>
      <c r="F33" s="336">
        <f t="shared" si="24"/>
        <v>2</v>
      </c>
      <c r="G33" s="335">
        <f t="shared" si="24"/>
        <v>3</v>
      </c>
      <c r="H33" s="333">
        <f t="shared" si="24"/>
        <v>3</v>
      </c>
      <c r="I33" s="336">
        <f t="shared" si="24"/>
        <v>2</v>
      </c>
      <c r="J33" s="335">
        <f t="shared" si="24"/>
        <v>2</v>
      </c>
      <c r="K33" s="336">
        <f t="shared" si="24"/>
        <v>1</v>
      </c>
      <c r="L33" s="174"/>
    </row>
    <row r="34" spans="1:12" x14ac:dyDescent="0.25">
      <c r="A34" s="132">
        <f t="shared" si="1"/>
        <v>34</v>
      </c>
      <c r="B34" s="56" t="s">
        <v>45</v>
      </c>
      <c r="C34" s="43">
        <f>IF(C4="AMC 2x3",2,IF(C4="AMC 1x6",1,IF(C4="AMC 1x3",1)))</f>
        <v>1</v>
      </c>
      <c r="D34" s="34">
        <f>IF(D4="AMC 2x3",2,IF(D4="AMC 1x6",1,IF(D4="AMC 1x3",1)))</f>
        <v>1</v>
      </c>
      <c r="E34" s="34">
        <f t="shared" ref="E34:K34" si="25">IF(E4="AMC 2x3",2,IF(E4="AMC 1x6",1,IF(E4="AMC 1x3",1)))</f>
        <v>1</v>
      </c>
      <c r="F34" s="156">
        <f t="shared" si="25"/>
        <v>1</v>
      </c>
      <c r="G34" s="43">
        <f t="shared" si="25"/>
        <v>1</v>
      </c>
      <c r="H34" s="34">
        <f t="shared" si="25"/>
        <v>1</v>
      </c>
      <c r="I34" s="156">
        <f t="shared" si="25"/>
        <v>1</v>
      </c>
      <c r="J34" s="43">
        <f t="shared" si="25"/>
        <v>1</v>
      </c>
      <c r="K34" s="156">
        <f t="shared" si="25"/>
        <v>1</v>
      </c>
      <c r="L34" s="174"/>
    </row>
    <row r="35" spans="1:12" x14ac:dyDescent="0.25">
      <c r="A35" s="132">
        <f t="shared" si="1"/>
        <v>35</v>
      </c>
      <c r="B35" s="56" t="s">
        <v>46</v>
      </c>
      <c r="C35" s="44">
        <f>IF(C4="AMC 1x3",3,6/C34)</f>
        <v>6</v>
      </c>
      <c r="D35" s="33">
        <f t="shared" ref="D35:F36" si="26">C35</f>
        <v>6</v>
      </c>
      <c r="E35" s="33">
        <f t="shared" si="26"/>
        <v>6</v>
      </c>
      <c r="F35" s="153">
        <f t="shared" si="26"/>
        <v>6</v>
      </c>
      <c r="G35" s="44">
        <f t="shared" ref="G35:K35" si="27">IF(G4="AMC 1x3",3,6/G34)</f>
        <v>3</v>
      </c>
      <c r="H35" s="33">
        <f t="shared" si="27"/>
        <v>3</v>
      </c>
      <c r="I35" s="153">
        <f t="shared" si="27"/>
        <v>3</v>
      </c>
      <c r="J35" s="44">
        <f t="shared" si="27"/>
        <v>3</v>
      </c>
      <c r="K35" s="153">
        <f t="shared" si="27"/>
        <v>3</v>
      </c>
      <c r="L35" s="174"/>
    </row>
    <row r="36" spans="1:12" x14ac:dyDescent="0.25">
      <c r="A36" s="132">
        <f t="shared" si="1"/>
        <v>36</v>
      </c>
      <c r="B36" s="58" t="s">
        <v>48</v>
      </c>
      <c r="C36" s="41">
        <v>1</v>
      </c>
      <c r="D36" s="31">
        <f t="shared" si="26"/>
        <v>1</v>
      </c>
      <c r="E36" s="31">
        <f t="shared" si="26"/>
        <v>1</v>
      </c>
      <c r="F36" s="152">
        <f t="shared" si="26"/>
        <v>1</v>
      </c>
      <c r="G36" s="45">
        <f t="shared" ref="G36:K37" si="28">F36</f>
        <v>1</v>
      </c>
      <c r="H36" s="31">
        <f t="shared" si="28"/>
        <v>1</v>
      </c>
      <c r="I36" s="152">
        <f t="shared" si="28"/>
        <v>1</v>
      </c>
      <c r="J36" s="45">
        <f t="shared" si="28"/>
        <v>1</v>
      </c>
      <c r="K36" s="152">
        <f t="shared" si="28"/>
        <v>1</v>
      </c>
      <c r="L36" s="174"/>
    </row>
    <row r="37" spans="1:12" x14ac:dyDescent="0.25">
      <c r="A37" s="132">
        <f t="shared" si="1"/>
        <v>37</v>
      </c>
      <c r="B37" s="91" t="s">
        <v>85</v>
      </c>
      <c r="C37" s="222">
        <v>1</v>
      </c>
      <c r="D37" s="31">
        <f t="shared" ref="D37" si="29">C37</f>
        <v>1</v>
      </c>
      <c r="E37" s="31">
        <f t="shared" ref="E37" si="30">D37</f>
        <v>1</v>
      </c>
      <c r="F37" s="152">
        <f t="shared" ref="F37" si="31">E37</f>
        <v>1</v>
      </c>
      <c r="G37" s="222">
        <v>1</v>
      </c>
      <c r="H37" s="31">
        <f t="shared" si="28"/>
        <v>1</v>
      </c>
      <c r="I37" s="152">
        <f t="shared" si="28"/>
        <v>1</v>
      </c>
      <c r="J37" s="222">
        <v>1</v>
      </c>
      <c r="K37" s="152">
        <f t="shared" si="28"/>
        <v>1</v>
      </c>
      <c r="L37" s="189" t="s">
        <v>87</v>
      </c>
    </row>
    <row r="38" spans="1:12" x14ac:dyDescent="0.25">
      <c r="A38" s="132">
        <f t="shared" si="1"/>
        <v>38</v>
      </c>
      <c r="B38" s="58" t="s">
        <v>84</v>
      </c>
      <c r="C38" s="42">
        <f>C28-C29-C36-C37</f>
        <v>78</v>
      </c>
      <c r="D38" s="52">
        <f>D28-D29-D36-C37</f>
        <v>70</v>
      </c>
      <c r="E38" s="52">
        <f>E28-E29-E36-D37</f>
        <v>62</v>
      </c>
      <c r="F38" s="157">
        <f>F28-F29-F36-C37</f>
        <v>54</v>
      </c>
      <c r="G38" s="42">
        <f>G28-G29-G36-C37</f>
        <v>142</v>
      </c>
      <c r="H38" s="52">
        <f>H28-H29-H36-G37</f>
        <v>119</v>
      </c>
      <c r="I38" s="157">
        <f>I28-I29-I36-F37</f>
        <v>95</v>
      </c>
      <c r="J38" s="42">
        <f>J28-J29-J36-C37</f>
        <v>119</v>
      </c>
      <c r="K38" s="157">
        <f>K28-K29-K36-H37</f>
        <v>79</v>
      </c>
      <c r="L38" s="174"/>
    </row>
    <row r="39" spans="1:12" x14ac:dyDescent="0.25">
      <c r="A39" s="132">
        <f t="shared" si="1"/>
        <v>39</v>
      </c>
      <c r="B39" s="59" t="s">
        <v>55</v>
      </c>
      <c r="C39" s="65">
        <f t="shared" ref="C39:K39" si="32">IF(C4="AMC 1x6",(ROUNDDOWN(C12/3,0))*ROUNDDOWN(C38/6,0),IF(C4="AMC 2x3",(ROUNDDOWN(C12/3,0))*ROUNDDOWN(C38/3,0),IF(C4="AMC 1x3",(ROUNDDOWN(C12/3,0))*ROUNDDOWN(C38/3,0))))</f>
        <v>26</v>
      </c>
      <c r="D39" s="48">
        <f t="shared" si="32"/>
        <v>22</v>
      </c>
      <c r="E39" s="48">
        <f t="shared" si="32"/>
        <v>20</v>
      </c>
      <c r="F39" s="158">
        <f t="shared" si="32"/>
        <v>18</v>
      </c>
      <c r="G39" s="65">
        <f t="shared" si="32"/>
        <v>47</v>
      </c>
      <c r="H39" s="48">
        <f t="shared" si="32"/>
        <v>39</v>
      </c>
      <c r="I39" s="158">
        <f t="shared" si="32"/>
        <v>31</v>
      </c>
      <c r="J39" s="65">
        <f t="shared" si="32"/>
        <v>39</v>
      </c>
      <c r="K39" s="158">
        <f t="shared" si="32"/>
        <v>26</v>
      </c>
      <c r="L39" s="174"/>
    </row>
    <row r="40" spans="1:12" x14ac:dyDescent="0.25">
      <c r="A40" s="132">
        <f t="shared" si="1"/>
        <v>40</v>
      </c>
      <c r="B40" s="58" t="s">
        <v>49</v>
      </c>
      <c r="C40" s="66">
        <f>60</f>
        <v>60</v>
      </c>
      <c r="D40" s="36">
        <f t="shared" ref="D40:K40" si="33">C40</f>
        <v>60</v>
      </c>
      <c r="E40" s="36">
        <f t="shared" si="33"/>
        <v>60</v>
      </c>
      <c r="F40" s="159">
        <f t="shared" si="33"/>
        <v>60</v>
      </c>
      <c r="G40" s="66">
        <f t="shared" si="33"/>
        <v>60</v>
      </c>
      <c r="H40" s="36">
        <f t="shared" si="33"/>
        <v>60</v>
      </c>
      <c r="I40" s="159">
        <f t="shared" si="33"/>
        <v>60</v>
      </c>
      <c r="J40" s="66">
        <f t="shared" si="33"/>
        <v>60</v>
      </c>
      <c r="K40" s="159">
        <f t="shared" si="33"/>
        <v>60</v>
      </c>
      <c r="L40" s="349" t="s">
        <v>58</v>
      </c>
    </row>
    <row r="41" spans="1:12" x14ac:dyDescent="0.25">
      <c r="A41" s="132">
        <f t="shared" si="1"/>
        <v>41</v>
      </c>
      <c r="B41" s="58" t="s">
        <v>52</v>
      </c>
      <c r="C41" s="67">
        <f t="shared" ref="C41:K41" si="34">ROUNDUP(C40/8,0)</f>
        <v>8</v>
      </c>
      <c r="D41" s="30">
        <f t="shared" si="34"/>
        <v>8</v>
      </c>
      <c r="E41" s="30">
        <f t="shared" si="34"/>
        <v>8</v>
      </c>
      <c r="F41" s="160">
        <f t="shared" si="34"/>
        <v>8</v>
      </c>
      <c r="G41" s="67">
        <f t="shared" si="34"/>
        <v>8</v>
      </c>
      <c r="H41" s="30">
        <f t="shared" si="34"/>
        <v>8</v>
      </c>
      <c r="I41" s="160">
        <f t="shared" si="34"/>
        <v>8</v>
      </c>
      <c r="J41" s="67">
        <f t="shared" si="34"/>
        <v>8</v>
      </c>
      <c r="K41" s="160">
        <f t="shared" si="34"/>
        <v>8</v>
      </c>
      <c r="L41" s="349"/>
    </row>
    <row r="42" spans="1:12" x14ac:dyDescent="0.25">
      <c r="A42" s="132">
        <f t="shared" si="1"/>
        <v>42</v>
      </c>
      <c r="B42" s="58" t="s">
        <v>50</v>
      </c>
      <c r="C42" s="66">
        <f>139</f>
        <v>139</v>
      </c>
      <c r="D42" s="36">
        <f t="shared" ref="D42:K42" si="35">C42</f>
        <v>139</v>
      </c>
      <c r="E42" s="36">
        <f t="shared" si="35"/>
        <v>139</v>
      </c>
      <c r="F42" s="159">
        <f t="shared" si="35"/>
        <v>139</v>
      </c>
      <c r="G42" s="66">
        <f t="shared" si="35"/>
        <v>139</v>
      </c>
      <c r="H42" s="36">
        <f t="shared" si="35"/>
        <v>139</v>
      </c>
      <c r="I42" s="159">
        <f t="shared" si="35"/>
        <v>139</v>
      </c>
      <c r="J42" s="66">
        <f t="shared" si="35"/>
        <v>139</v>
      </c>
      <c r="K42" s="159">
        <f t="shared" si="35"/>
        <v>139</v>
      </c>
      <c r="L42" s="349"/>
    </row>
    <row r="43" spans="1:12" x14ac:dyDescent="0.25">
      <c r="A43" s="132">
        <f t="shared" si="1"/>
        <v>43</v>
      </c>
      <c r="B43" s="58" t="s">
        <v>51</v>
      </c>
      <c r="C43" s="67">
        <f t="shared" ref="C43:K43" si="36">ROUNDUP(C42/8,0)</f>
        <v>18</v>
      </c>
      <c r="D43" s="30">
        <f t="shared" si="36"/>
        <v>18</v>
      </c>
      <c r="E43" s="30">
        <f t="shared" si="36"/>
        <v>18</v>
      </c>
      <c r="F43" s="160">
        <f t="shared" si="36"/>
        <v>18</v>
      </c>
      <c r="G43" s="67">
        <f t="shared" si="36"/>
        <v>18</v>
      </c>
      <c r="H43" s="30">
        <f t="shared" si="36"/>
        <v>18</v>
      </c>
      <c r="I43" s="160">
        <f t="shared" si="36"/>
        <v>18</v>
      </c>
      <c r="J43" s="67">
        <f t="shared" si="36"/>
        <v>18</v>
      </c>
      <c r="K43" s="160">
        <f t="shared" si="36"/>
        <v>18</v>
      </c>
      <c r="L43" s="349"/>
    </row>
    <row r="44" spans="1:12" x14ac:dyDescent="0.25">
      <c r="A44" s="132">
        <f t="shared" si="1"/>
        <v>44</v>
      </c>
      <c r="B44" s="58" t="s">
        <v>47</v>
      </c>
      <c r="C44" s="83">
        <f>IF(C4="AMC 1x3",2,1)</f>
        <v>1</v>
      </c>
      <c r="D44" s="32">
        <f t="shared" ref="D44:K44" si="37">IF(D4="AMC 1x3",2,1)</f>
        <v>1</v>
      </c>
      <c r="E44" s="32">
        <f t="shared" si="37"/>
        <v>1</v>
      </c>
      <c r="F44" s="161">
        <f t="shared" si="37"/>
        <v>1</v>
      </c>
      <c r="G44" s="83">
        <f t="shared" si="37"/>
        <v>2</v>
      </c>
      <c r="H44" s="32">
        <f t="shared" si="37"/>
        <v>2</v>
      </c>
      <c r="I44" s="161">
        <f t="shared" si="37"/>
        <v>2</v>
      </c>
      <c r="J44" s="83">
        <f t="shared" si="37"/>
        <v>2</v>
      </c>
      <c r="K44" s="161">
        <f t="shared" si="37"/>
        <v>2</v>
      </c>
      <c r="L44" s="349"/>
    </row>
    <row r="45" spans="1:12" x14ac:dyDescent="0.25">
      <c r="A45" s="132">
        <f t="shared" si="1"/>
        <v>45</v>
      </c>
      <c r="B45" s="58" t="s">
        <v>53</v>
      </c>
      <c r="C45" s="67">
        <f t="shared" ref="C45:K45" si="38">2*1/2*8*(C34*C35)/8</f>
        <v>6</v>
      </c>
      <c r="D45" s="30">
        <f t="shared" si="38"/>
        <v>6</v>
      </c>
      <c r="E45" s="30">
        <f t="shared" si="38"/>
        <v>6</v>
      </c>
      <c r="F45" s="160">
        <f t="shared" si="38"/>
        <v>6</v>
      </c>
      <c r="G45" s="67">
        <f t="shared" si="38"/>
        <v>3</v>
      </c>
      <c r="H45" s="30">
        <f t="shared" si="38"/>
        <v>3</v>
      </c>
      <c r="I45" s="160">
        <f t="shared" si="38"/>
        <v>3</v>
      </c>
      <c r="J45" s="67">
        <f t="shared" si="38"/>
        <v>3</v>
      </c>
      <c r="K45" s="160">
        <f t="shared" si="38"/>
        <v>3</v>
      </c>
      <c r="L45" s="174"/>
    </row>
    <row r="46" spans="1:12" x14ac:dyDescent="0.25">
      <c r="A46" s="132">
        <f t="shared" si="1"/>
        <v>46</v>
      </c>
      <c r="B46" s="58" t="s">
        <v>54</v>
      </c>
      <c r="C46" s="68">
        <f t="shared" ref="C46:K46" si="39">ROUNDUP(C41/C45,0)+ROUNDUP(C43/C45,0)+C44</f>
        <v>6</v>
      </c>
      <c r="D46" s="35">
        <f t="shared" si="39"/>
        <v>6</v>
      </c>
      <c r="E46" s="35">
        <f t="shared" si="39"/>
        <v>6</v>
      </c>
      <c r="F46" s="162">
        <f t="shared" si="39"/>
        <v>6</v>
      </c>
      <c r="G46" s="68">
        <f t="shared" si="39"/>
        <v>11</v>
      </c>
      <c r="H46" s="35">
        <f t="shared" si="39"/>
        <v>11</v>
      </c>
      <c r="I46" s="162">
        <f t="shared" si="39"/>
        <v>11</v>
      </c>
      <c r="J46" s="68">
        <f t="shared" si="39"/>
        <v>11</v>
      </c>
      <c r="K46" s="162">
        <f t="shared" si="39"/>
        <v>11</v>
      </c>
      <c r="L46" s="174"/>
    </row>
    <row r="47" spans="1:12" ht="15" customHeight="1" x14ac:dyDescent="0.25">
      <c r="A47" s="132">
        <f t="shared" si="1"/>
        <v>47</v>
      </c>
      <c r="B47" s="202" t="s">
        <v>60</v>
      </c>
      <c r="C47" s="203">
        <f t="shared" ref="C47:K47" si="40">C39-C46</f>
        <v>20</v>
      </c>
      <c r="D47" s="204">
        <f t="shared" si="40"/>
        <v>16</v>
      </c>
      <c r="E47" s="204">
        <f t="shared" si="40"/>
        <v>14</v>
      </c>
      <c r="F47" s="205">
        <f t="shared" si="40"/>
        <v>12</v>
      </c>
      <c r="G47" s="203">
        <f t="shared" si="40"/>
        <v>36</v>
      </c>
      <c r="H47" s="204">
        <f t="shared" si="40"/>
        <v>28</v>
      </c>
      <c r="I47" s="205">
        <f t="shared" si="40"/>
        <v>20</v>
      </c>
      <c r="J47" s="203">
        <f t="shared" si="40"/>
        <v>28</v>
      </c>
      <c r="K47" s="205">
        <f t="shared" si="40"/>
        <v>15</v>
      </c>
      <c r="L47" s="174"/>
    </row>
    <row r="48" spans="1:12" x14ac:dyDescent="0.25">
      <c r="A48" s="132">
        <f t="shared" si="1"/>
        <v>48</v>
      </c>
      <c r="B48" s="61" t="s">
        <v>75</v>
      </c>
      <c r="C48" s="219">
        <v>2</v>
      </c>
      <c r="D48" s="78">
        <f t="shared" ref="D48:K48" si="41">C48</f>
        <v>2</v>
      </c>
      <c r="E48" s="78">
        <f t="shared" si="41"/>
        <v>2</v>
      </c>
      <c r="F48" s="163">
        <f t="shared" si="41"/>
        <v>2</v>
      </c>
      <c r="G48" s="69">
        <f t="shared" si="41"/>
        <v>2</v>
      </c>
      <c r="H48" s="78">
        <f t="shared" si="41"/>
        <v>2</v>
      </c>
      <c r="I48" s="163">
        <f t="shared" si="41"/>
        <v>2</v>
      </c>
      <c r="J48" s="69">
        <f t="shared" si="41"/>
        <v>2</v>
      </c>
      <c r="K48" s="163">
        <f t="shared" si="41"/>
        <v>2</v>
      </c>
      <c r="L48" s="174"/>
    </row>
    <row r="49" spans="1:12" x14ac:dyDescent="0.25">
      <c r="A49" s="132">
        <f t="shared" si="1"/>
        <v>49</v>
      </c>
      <c r="B49" s="62" t="s">
        <v>61</v>
      </c>
      <c r="C49" s="328">
        <f>C47-C50</f>
        <v>14</v>
      </c>
      <c r="D49" s="46">
        <f t="shared" ref="D49:K49" si="42">D47-D50</f>
        <v>11</v>
      </c>
      <c r="E49" s="46">
        <f t="shared" si="42"/>
        <v>10</v>
      </c>
      <c r="F49" s="337">
        <f t="shared" si="42"/>
        <v>8</v>
      </c>
      <c r="G49" s="328">
        <f t="shared" si="42"/>
        <v>24</v>
      </c>
      <c r="H49" s="46">
        <f t="shared" si="42"/>
        <v>19</v>
      </c>
      <c r="I49" s="337">
        <f t="shared" si="42"/>
        <v>14</v>
      </c>
      <c r="J49" s="328">
        <f t="shared" si="42"/>
        <v>19</v>
      </c>
      <c r="K49" s="164">
        <f t="shared" si="42"/>
        <v>10</v>
      </c>
      <c r="L49" s="174"/>
    </row>
    <row r="50" spans="1:12" x14ac:dyDescent="0.25">
      <c r="A50" s="132">
        <f t="shared" si="1"/>
        <v>50</v>
      </c>
      <c r="B50" s="63" t="s">
        <v>62</v>
      </c>
      <c r="C50" s="328">
        <f>IF((C47/(C48+1))&lt;1,1,INT(C47/(C48+1)))</f>
        <v>6</v>
      </c>
      <c r="D50" s="46">
        <f t="shared" ref="D50:K50" si="43">IF((D47/(D48+1))&lt;1,1,INT(D47/(D48+1)))</f>
        <v>5</v>
      </c>
      <c r="E50" s="46">
        <f t="shared" si="43"/>
        <v>4</v>
      </c>
      <c r="F50" s="337">
        <f t="shared" si="43"/>
        <v>4</v>
      </c>
      <c r="G50" s="328">
        <f t="shared" si="43"/>
        <v>12</v>
      </c>
      <c r="H50" s="46">
        <f t="shared" si="43"/>
        <v>9</v>
      </c>
      <c r="I50" s="337">
        <f t="shared" si="43"/>
        <v>6</v>
      </c>
      <c r="J50" s="328">
        <f t="shared" si="43"/>
        <v>9</v>
      </c>
      <c r="K50" s="164">
        <f t="shared" si="43"/>
        <v>5</v>
      </c>
      <c r="L50" s="174"/>
    </row>
    <row r="51" spans="1:12" x14ac:dyDescent="0.25">
      <c r="A51" s="132">
        <f t="shared" si="1"/>
        <v>51</v>
      </c>
      <c r="B51" s="63" t="s">
        <v>63</v>
      </c>
      <c r="C51" s="70">
        <f t="shared" ref="C51:K51" si="44">IF(C4="AMC 1x6",C38-6*ROUNDDOWN(C38/6,0),C38-3*ROUNDDOWN(C38/3,0))</f>
        <v>0</v>
      </c>
      <c r="D51" s="37">
        <f t="shared" si="44"/>
        <v>4</v>
      </c>
      <c r="E51" s="37">
        <f t="shared" si="44"/>
        <v>2</v>
      </c>
      <c r="F51" s="165">
        <f t="shared" si="44"/>
        <v>0</v>
      </c>
      <c r="G51" s="70">
        <f t="shared" si="44"/>
        <v>1</v>
      </c>
      <c r="H51" s="37">
        <f t="shared" si="44"/>
        <v>2</v>
      </c>
      <c r="I51" s="165">
        <f t="shared" si="44"/>
        <v>2</v>
      </c>
      <c r="J51" s="70">
        <f t="shared" si="44"/>
        <v>2</v>
      </c>
      <c r="K51" s="165">
        <f t="shared" si="44"/>
        <v>1</v>
      </c>
      <c r="L51" s="174"/>
    </row>
    <row r="52" spans="1:12" x14ac:dyDescent="0.25">
      <c r="A52" s="132">
        <f t="shared" si="1"/>
        <v>52</v>
      </c>
      <c r="B52" s="63" t="s">
        <v>74</v>
      </c>
      <c r="C52" s="225">
        <f t="shared" ref="C52:I52" si="45">IF(C47&gt;1,C49/C50,"n/a")</f>
        <v>2.3333333333333335</v>
      </c>
      <c r="D52" s="78">
        <f t="shared" si="45"/>
        <v>2.2000000000000002</v>
      </c>
      <c r="E52" s="78">
        <f t="shared" si="45"/>
        <v>2.5</v>
      </c>
      <c r="F52" s="224">
        <f t="shared" si="45"/>
        <v>2</v>
      </c>
      <c r="G52" s="225">
        <f t="shared" si="45"/>
        <v>2</v>
      </c>
      <c r="H52" s="78">
        <f t="shared" si="45"/>
        <v>2.1111111111111112</v>
      </c>
      <c r="I52" s="224">
        <f t="shared" si="45"/>
        <v>2.3333333333333335</v>
      </c>
      <c r="J52" s="69">
        <f>IF(J47&gt;1,J49/J50,"n/a")</f>
        <v>2.1111111111111112</v>
      </c>
      <c r="K52" s="224">
        <f>IF(K47&gt;1,K49/K50,"n/a")</f>
        <v>2</v>
      </c>
      <c r="L52" s="183"/>
    </row>
    <row r="53" spans="1:12" x14ac:dyDescent="0.25">
      <c r="A53" s="132">
        <f t="shared" si="1"/>
        <v>53</v>
      </c>
      <c r="B53" s="61" t="s">
        <v>64</v>
      </c>
      <c r="C53" s="221">
        <v>2</v>
      </c>
      <c r="D53" s="49">
        <f t="shared" ref="D53:K53" si="46">C53</f>
        <v>2</v>
      </c>
      <c r="E53" s="49">
        <f t="shared" si="46"/>
        <v>2</v>
      </c>
      <c r="F53" s="166">
        <f t="shared" si="46"/>
        <v>2</v>
      </c>
      <c r="G53" s="71">
        <f t="shared" si="46"/>
        <v>2</v>
      </c>
      <c r="H53" s="49">
        <f t="shared" si="46"/>
        <v>2</v>
      </c>
      <c r="I53" s="166">
        <f t="shared" si="46"/>
        <v>2</v>
      </c>
      <c r="J53" s="71">
        <f t="shared" si="46"/>
        <v>2</v>
      </c>
      <c r="K53" s="166">
        <f t="shared" si="46"/>
        <v>2</v>
      </c>
      <c r="L53" s="183" t="s">
        <v>70</v>
      </c>
    </row>
    <row r="54" spans="1:12" x14ac:dyDescent="0.25">
      <c r="A54" s="132">
        <f t="shared" si="1"/>
        <v>54</v>
      </c>
      <c r="B54" s="62" t="s">
        <v>65</v>
      </c>
      <c r="C54" s="67">
        <f t="shared" ref="C54:K54" si="47">(6*5/6*8*(C$34*C$35)/8)</f>
        <v>30</v>
      </c>
      <c r="D54" s="30">
        <f t="shared" si="47"/>
        <v>30</v>
      </c>
      <c r="E54" s="30">
        <f t="shared" si="47"/>
        <v>30</v>
      </c>
      <c r="F54" s="160">
        <f t="shared" si="47"/>
        <v>30</v>
      </c>
      <c r="G54" s="67">
        <f t="shared" si="47"/>
        <v>15</v>
      </c>
      <c r="H54" s="30">
        <f t="shared" si="47"/>
        <v>15</v>
      </c>
      <c r="I54" s="160">
        <f t="shared" si="47"/>
        <v>15</v>
      </c>
      <c r="J54" s="67">
        <f t="shared" si="47"/>
        <v>15</v>
      </c>
      <c r="K54" s="160">
        <f t="shared" si="47"/>
        <v>15</v>
      </c>
      <c r="L54" s="174"/>
    </row>
    <row r="55" spans="1:12" x14ac:dyDescent="0.25">
      <c r="A55" s="132">
        <f t="shared" si="1"/>
        <v>55</v>
      </c>
      <c r="B55" s="62" t="s">
        <v>66</v>
      </c>
      <c r="C55" s="67">
        <f t="shared" ref="C55:K55" si="48">2*1/2*8*(C$34*C$35)/8</f>
        <v>6</v>
      </c>
      <c r="D55" s="30">
        <f t="shared" si="48"/>
        <v>6</v>
      </c>
      <c r="E55" s="30">
        <f t="shared" si="48"/>
        <v>6</v>
      </c>
      <c r="F55" s="160">
        <f t="shared" si="48"/>
        <v>6</v>
      </c>
      <c r="G55" s="67">
        <f t="shared" si="48"/>
        <v>3</v>
      </c>
      <c r="H55" s="30">
        <f t="shared" si="48"/>
        <v>3</v>
      </c>
      <c r="I55" s="160">
        <f t="shared" si="48"/>
        <v>3</v>
      </c>
      <c r="J55" s="67">
        <f t="shared" si="48"/>
        <v>3</v>
      </c>
      <c r="K55" s="160">
        <f t="shared" si="48"/>
        <v>3</v>
      </c>
      <c r="L55" s="174"/>
    </row>
    <row r="56" spans="1:12" x14ac:dyDescent="0.25">
      <c r="A56" s="132">
        <f t="shared" si="1"/>
        <v>56</v>
      </c>
      <c r="B56" s="63" t="s">
        <v>67</v>
      </c>
      <c r="C56" s="72">
        <f t="shared" ref="C56:K56" si="49">C53*8*(C$34*C$35)/8</f>
        <v>12</v>
      </c>
      <c r="D56" s="39">
        <f t="shared" si="49"/>
        <v>12</v>
      </c>
      <c r="E56" s="39">
        <f t="shared" si="49"/>
        <v>12</v>
      </c>
      <c r="F56" s="167">
        <f t="shared" si="49"/>
        <v>12</v>
      </c>
      <c r="G56" s="72">
        <f t="shared" si="49"/>
        <v>6</v>
      </c>
      <c r="H56" s="39">
        <f t="shared" si="49"/>
        <v>6</v>
      </c>
      <c r="I56" s="167">
        <f t="shared" si="49"/>
        <v>6</v>
      </c>
      <c r="J56" s="72">
        <f t="shared" si="49"/>
        <v>6</v>
      </c>
      <c r="K56" s="167">
        <f t="shared" si="49"/>
        <v>6</v>
      </c>
      <c r="L56" s="174"/>
    </row>
    <row r="57" spans="1:12" ht="15" customHeight="1" x14ac:dyDescent="0.25">
      <c r="A57" s="132">
        <f t="shared" si="1"/>
        <v>57</v>
      </c>
      <c r="B57" s="64" t="s">
        <v>112</v>
      </c>
      <c r="C57" s="96"/>
      <c r="D57" s="29"/>
      <c r="E57" s="29"/>
      <c r="F57" s="168"/>
      <c r="G57" s="73"/>
      <c r="H57" s="29"/>
      <c r="I57" s="168"/>
      <c r="J57" s="73"/>
      <c r="K57" s="168"/>
      <c r="L57" s="184"/>
    </row>
    <row r="58" spans="1:12" x14ac:dyDescent="0.25">
      <c r="A58" s="132">
        <f>A57+1</f>
        <v>58</v>
      </c>
      <c r="B58" s="63" t="s">
        <v>110</v>
      </c>
      <c r="C58" s="326">
        <f>8*C49*C$54/C$25</f>
        <v>336</v>
      </c>
      <c r="D58" s="324">
        <f t="shared" ref="D58:K58" si="50">8*D49*D$54/D$25</f>
        <v>264</v>
      </c>
      <c r="E58" s="324">
        <f t="shared" si="50"/>
        <v>240</v>
      </c>
      <c r="F58" s="327">
        <f t="shared" si="50"/>
        <v>192</v>
      </c>
      <c r="G58" s="326">
        <f t="shared" si="50"/>
        <v>144</v>
      </c>
      <c r="H58" s="324">
        <f t="shared" si="50"/>
        <v>114</v>
      </c>
      <c r="I58" s="327">
        <f t="shared" si="50"/>
        <v>84</v>
      </c>
      <c r="J58" s="326">
        <f t="shared" si="50"/>
        <v>91.2</v>
      </c>
      <c r="K58" s="327">
        <f t="shared" si="50"/>
        <v>48</v>
      </c>
      <c r="L58" s="321"/>
    </row>
    <row r="59" spans="1:12" x14ac:dyDescent="0.25">
      <c r="A59" s="132">
        <f t="shared" ref="A59:A64" si="51">A58+1</f>
        <v>59</v>
      </c>
      <c r="B59" s="63" t="s">
        <v>68</v>
      </c>
      <c r="C59" s="74">
        <f t="shared" ref="C59:K59" si="52">8*C49*C$56/C$25</f>
        <v>134.4</v>
      </c>
      <c r="D59" s="79">
        <f t="shared" si="52"/>
        <v>105.6</v>
      </c>
      <c r="E59" s="79">
        <f t="shared" si="52"/>
        <v>96</v>
      </c>
      <c r="F59" s="169">
        <f t="shared" si="52"/>
        <v>76.8</v>
      </c>
      <c r="G59" s="74">
        <f t="shared" si="52"/>
        <v>57.6</v>
      </c>
      <c r="H59" s="79">
        <f t="shared" si="52"/>
        <v>45.6</v>
      </c>
      <c r="I59" s="169">
        <f t="shared" si="52"/>
        <v>33.6</v>
      </c>
      <c r="J59" s="74">
        <f t="shared" si="52"/>
        <v>36.479999999999997</v>
      </c>
      <c r="K59" s="169">
        <f t="shared" si="52"/>
        <v>19.2</v>
      </c>
      <c r="L59" s="174"/>
    </row>
    <row r="60" spans="1:12" x14ac:dyDescent="0.25">
      <c r="A60" s="132">
        <f t="shared" si="51"/>
        <v>60</v>
      </c>
      <c r="B60" s="63" t="s">
        <v>111</v>
      </c>
      <c r="C60" s="326">
        <f>8*C50*C$54/C$25</f>
        <v>144</v>
      </c>
      <c r="D60" s="324">
        <f t="shared" ref="D60:K60" si="53">8*D50*D$54/D$25</f>
        <v>120</v>
      </c>
      <c r="E60" s="324">
        <f t="shared" si="53"/>
        <v>96</v>
      </c>
      <c r="F60" s="327">
        <f t="shared" si="53"/>
        <v>96</v>
      </c>
      <c r="G60" s="326">
        <f t="shared" si="53"/>
        <v>72</v>
      </c>
      <c r="H60" s="324">
        <f t="shared" si="53"/>
        <v>54</v>
      </c>
      <c r="I60" s="327">
        <f t="shared" si="53"/>
        <v>36</v>
      </c>
      <c r="J60" s="326">
        <f t="shared" si="53"/>
        <v>43.2</v>
      </c>
      <c r="K60" s="327">
        <f t="shared" si="53"/>
        <v>24</v>
      </c>
      <c r="L60" s="174"/>
    </row>
    <row r="61" spans="1:12" x14ac:dyDescent="0.25">
      <c r="A61" s="132">
        <f t="shared" si="51"/>
        <v>61</v>
      </c>
      <c r="B61" s="63" t="s">
        <v>69</v>
      </c>
      <c r="C61" s="74">
        <f t="shared" ref="C61:K61" si="54">8*C50*C$56/C$25</f>
        <v>57.6</v>
      </c>
      <c r="D61" s="79">
        <f t="shared" si="54"/>
        <v>48</v>
      </c>
      <c r="E61" s="79">
        <f t="shared" si="54"/>
        <v>38.4</v>
      </c>
      <c r="F61" s="169">
        <f t="shared" si="54"/>
        <v>38.4</v>
      </c>
      <c r="G61" s="74">
        <f t="shared" si="54"/>
        <v>28.8</v>
      </c>
      <c r="H61" s="79">
        <f t="shared" si="54"/>
        <v>21.6</v>
      </c>
      <c r="I61" s="169">
        <f t="shared" si="54"/>
        <v>14.4</v>
      </c>
      <c r="J61" s="74">
        <f t="shared" si="54"/>
        <v>17.28</v>
      </c>
      <c r="K61" s="169">
        <f t="shared" si="54"/>
        <v>9.6</v>
      </c>
      <c r="L61" s="174"/>
    </row>
    <row r="62" spans="1:12" x14ac:dyDescent="0.25">
      <c r="A62" s="132">
        <f t="shared" si="51"/>
        <v>62</v>
      </c>
      <c r="B62" s="64" t="s">
        <v>113</v>
      </c>
      <c r="C62" s="97"/>
      <c r="D62" s="29"/>
      <c r="E62" s="29"/>
      <c r="F62" s="168"/>
      <c r="G62" s="73"/>
      <c r="H62" s="29"/>
      <c r="I62" s="168"/>
      <c r="J62" s="73"/>
      <c r="K62" s="168"/>
      <c r="L62" s="184"/>
    </row>
    <row r="63" spans="1:12" x14ac:dyDescent="0.25">
      <c r="A63" s="132">
        <f t="shared" si="51"/>
        <v>63</v>
      </c>
      <c r="B63" s="63" t="s">
        <v>71</v>
      </c>
      <c r="C63" s="74">
        <f t="shared" ref="C63:K63" si="55">C$12/(3*ROUNDDOWN(C$12/3,0))*3*C59</f>
        <v>403.20000000000005</v>
      </c>
      <c r="D63" s="79">
        <f t="shared" si="55"/>
        <v>316.79999999999995</v>
      </c>
      <c r="E63" s="79">
        <f t="shared" si="55"/>
        <v>288</v>
      </c>
      <c r="F63" s="169">
        <f t="shared" si="55"/>
        <v>230.39999999999998</v>
      </c>
      <c r="G63" s="74">
        <f t="shared" si="55"/>
        <v>230.4</v>
      </c>
      <c r="H63" s="79">
        <f t="shared" si="55"/>
        <v>182.4</v>
      </c>
      <c r="I63" s="169">
        <f t="shared" si="55"/>
        <v>134.4</v>
      </c>
      <c r="J63" s="74">
        <f t="shared" si="55"/>
        <v>109.44</v>
      </c>
      <c r="K63" s="169">
        <f t="shared" si="55"/>
        <v>57.599999999999994</v>
      </c>
      <c r="L63" s="174"/>
    </row>
    <row r="64" spans="1:12" x14ac:dyDescent="0.25">
      <c r="A64" s="132">
        <f t="shared" si="51"/>
        <v>64</v>
      </c>
      <c r="B64" s="63" t="s">
        <v>72</v>
      </c>
      <c r="C64" s="74">
        <f t="shared" ref="C64:K64" si="56">C$12/(3*ROUNDDOWN(C$12/3,0))*3*C61</f>
        <v>172.8</v>
      </c>
      <c r="D64" s="79">
        <f t="shared" si="56"/>
        <v>144</v>
      </c>
      <c r="E64" s="79">
        <f t="shared" si="56"/>
        <v>115.19999999999999</v>
      </c>
      <c r="F64" s="169">
        <f t="shared" si="56"/>
        <v>115.19999999999999</v>
      </c>
      <c r="G64" s="74">
        <f t="shared" si="56"/>
        <v>115.2</v>
      </c>
      <c r="H64" s="79">
        <f t="shared" si="56"/>
        <v>86.4</v>
      </c>
      <c r="I64" s="169">
        <f t="shared" si="56"/>
        <v>57.6</v>
      </c>
      <c r="J64" s="74">
        <f t="shared" si="56"/>
        <v>51.84</v>
      </c>
      <c r="K64" s="169">
        <f t="shared" si="56"/>
        <v>28.799999999999997</v>
      </c>
      <c r="L64" s="174"/>
    </row>
    <row r="65" spans="1:12" x14ac:dyDescent="0.25">
      <c r="A65" s="132">
        <f t="shared" si="1"/>
        <v>65</v>
      </c>
      <c r="B65" s="58" t="s">
        <v>73</v>
      </c>
      <c r="C65" s="226">
        <f t="shared" ref="C65:K65" si="57">IF(C47&gt;1,(C63+C64)/(1000*C2),"n/a")</f>
        <v>1.1519999999999999</v>
      </c>
      <c r="D65" s="40">
        <f t="shared" si="57"/>
        <v>1.0239999999999998</v>
      </c>
      <c r="E65" s="40">
        <f t="shared" si="57"/>
        <v>1.008</v>
      </c>
      <c r="F65" s="223">
        <f t="shared" si="57"/>
        <v>0.98742857142857121</v>
      </c>
      <c r="G65" s="226">
        <f t="shared" si="57"/>
        <v>1.1519999999999999</v>
      </c>
      <c r="H65" s="40">
        <f t="shared" si="57"/>
        <v>1.0751999999999997</v>
      </c>
      <c r="I65" s="223">
        <f t="shared" si="57"/>
        <v>0.95999999999999974</v>
      </c>
      <c r="J65" s="75">
        <f t="shared" si="57"/>
        <v>1.0751999999999995</v>
      </c>
      <c r="K65" s="223">
        <f t="shared" si="57"/>
        <v>0.86399999999999932</v>
      </c>
      <c r="L65" s="325" t="s">
        <v>91</v>
      </c>
    </row>
    <row r="66" spans="1:12" x14ac:dyDescent="0.25">
      <c r="A66" s="132">
        <f t="shared" si="1"/>
        <v>66</v>
      </c>
      <c r="B66" s="58"/>
      <c r="C66" s="75"/>
      <c r="D66" s="40"/>
      <c r="E66" s="40"/>
      <c r="F66" s="170"/>
      <c r="G66" s="75"/>
      <c r="H66" s="40"/>
      <c r="I66" s="170"/>
      <c r="J66" s="75"/>
      <c r="K66" s="170"/>
      <c r="L66" s="183"/>
    </row>
    <row r="67" spans="1:12" ht="30" x14ac:dyDescent="0.25">
      <c r="A67" s="132">
        <f t="shared" si="1"/>
        <v>67</v>
      </c>
      <c r="B67" s="92" t="s">
        <v>104</v>
      </c>
      <c r="C67" s="98">
        <f t="shared" ref="C67:F67" si="58">C$12-3*ROUNDDOWN(C$12/3,0)</f>
        <v>0</v>
      </c>
      <c r="D67" s="94">
        <f t="shared" si="58"/>
        <v>0</v>
      </c>
      <c r="E67" s="94">
        <f t="shared" si="58"/>
        <v>0</v>
      </c>
      <c r="F67" s="171">
        <f t="shared" si="58"/>
        <v>0</v>
      </c>
      <c r="G67" s="98">
        <f>G$12-3*ROUNDDOWN(G$12/3,0)</f>
        <v>1</v>
      </c>
      <c r="H67" s="94">
        <f>H$12-3*ROUNDDOWN(H$12/3,0)</f>
        <v>1</v>
      </c>
      <c r="I67" s="171">
        <f>I$12-3*ROUNDDOWN(I$12/3,0)</f>
        <v>1</v>
      </c>
      <c r="J67" s="98">
        <f t="shared" ref="J67:K67" si="59">J$12-3*ROUNDDOWN(J$12/3,0)</f>
        <v>0</v>
      </c>
      <c r="K67" s="171">
        <f t="shared" si="59"/>
        <v>0</v>
      </c>
      <c r="L67" s="187" t="s">
        <v>80</v>
      </c>
    </row>
    <row r="68" spans="1:12" x14ac:dyDescent="0.25">
      <c r="A68" s="132">
        <f t="shared" si="1"/>
        <v>68</v>
      </c>
      <c r="B68" s="92"/>
      <c r="C68" s="99"/>
      <c r="D68" s="95"/>
      <c r="E68" s="95"/>
      <c r="F68" s="172"/>
      <c r="G68" s="99"/>
      <c r="H68" s="95"/>
      <c r="I68" s="172"/>
      <c r="J68" s="99"/>
      <c r="K68" s="172"/>
      <c r="L68" s="185"/>
    </row>
    <row r="69" spans="1:12" x14ac:dyDescent="0.25">
      <c r="A69" s="132">
        <f t="shared" ref="A69:A70" si="60">A68+1</f>
        <v>69</v>
      </c>
      <c r="B69" s="58" t="s">
        <v>88</v>
      </c>
      <c r="C69" s="25" t="str">
        <f>IF((C47-1)/1&gt;10,"&gt; 10:1",IF((C47-1/1)&lt;1,"n/a",(C47-1)/1))</f>
        <v>&gt; 10:1</v>
      </c>
      <c r="D69" s="6" t="str">
        <f t="shared" ref="D69:K69" si="61">IF((D47-1)/1&gt;10,"&gt; 10:1",IF((D47-1/1)&lt;1,"n/a",(D47-1)/1))</f>
        <v>&gt; 10:1</v>
      </c>
      <c r="E69" s="6" t="str">
        <f t="shared" si="61"/>
        <v>&gt; 10:1</v>
      </c>
      <c r="F69" s="150" t="str">
        <f t="shared" si="61"/>
        <v>&gt; 10:1</v>
      </c>
      <c r="G69" s="25" t="str">
        <f t="shared" si="61"/>
        <v>&gt; 10:1</v>
      </c>
      <c r="H69" s="6" t="str">
        <f t="shared" si="61"/>
        <v>&gt; 10:1</v>
      </c>
      <c r="I69" s="150" t="str">
        <f t="shared" si="61"/>
        <v>&gt; 10:1</v>
      </c>
      <c r="J69" s="25" t="str">
        <f t="shared" si="61"/>
        <v>&gt; 10:1</v>
      </c>
      <c r="K69" s="150" t="str">
        <f t="shared" si="61"/>
        <v>&gt; 10:1</v>
      </c>
      <c r="L69" s="174"/>
    </row>
    <row r="70" spans="1:12" ht="15.75" thickBot="1" x14ac:dyDescent="0.3">
      <c r="A70" s="133">
        <f t="shared" si="60"/>
        <v>70</v>
      </c>
      <c r="B70" s="93" t="s">
        <v>82</v>
      </c>
      <c r="C70" s="100">
        <f>2*(C25-5)</f>
        <v>10</v>
      </c>
      <c r="D70" s="101">
        <f t="shared" ref="D70:K70" si="62">2*(D25-5)</f>
        <v>10</v>
      </c>
      <c r="E70" s="101">
        <f t="shared" si="62"/>
        <v>10</v>
      </c>
      <c r="F70" s="173">
        <f t="shared" si="62"/>
        <v>10</v>
      </c>
      <c r="G70" s="100">
        <f t="shared" si="62"/>
        <v>30</v>
      </c>
      <c r="H70" s="101">
        <f t="shared" si="62"/>
        <v>30</v>
      </c>
      <c r="I70" s="173">
        <f t="shared" si="62"/>
        <v>30</v>
      </c>
      <c r="J70" s="100">
        <f t="shared" si="62"/>
        <v>40</v>
      </c>
      <c r="K70" s="173">
        <f t="shared" si="62"/>
        <v>40</v>
      </c>
      <c r="L70" s="188" t="s">
        <v>81</v>
      </c>
    </row>
    <row r="71" spans="1:12" x14ac:dyDescent="0.25">
      <c r="C71" s="13"/>
      <c r="D71" s="13"/>
      <c r="E71" s="13"/>
      <c r="F71" s="13"/>
      <c r="G71" s="13"/>
      <c r="H71" s="13"/>
      <c r="I71" s="13"/>
      <c r="J71" s="13"/>
      <c r="K71" s="13"/>
    </row>
    <row r="72" spans="1:12" x14ac:dyDescent="0.25">
      <c r="C72" s="13"/>
      <c r="D72" s="13"/>
      <c r="E72" s="13"/>
      <c r="F72" s="13"/>
      <c r="G72" s="13"/>
      <c r="H72" s="13"/>
      <c r="I72" s="13"/>
      <c r="J72" s="13"/>
      <c r="K72" s="13"/>
    </row>
    <row r="73" spans="1:12" x14ac:dyDescent="0.25">
      <c r="C73" s="13"/>
      <c r="D73" s="13" t="e">
        <f>int</f>
        <v>#NAME?</v>
      </c>
      <c r="E73" s="13"/>
      <c r="F73" s="13"/>
      <c r="G73" s="13"/>
      <c r="H73" s="13"/>
      <c r="I73" s="13"/>
      <c r="J73" s="13"/>
      <c r="K73" s="13"/>
    </row>
    <row r="74" spans="1:12" x14ac:dyDescent="0.25">
      <c r="C74" s="13"/>
      <c r="D74" s="13"/>
      <c r="E74" s="13"/>
      <c r="F74" s="13"/>
      <c r="G74" s="13"/>
      <c r="H74" s="13"/>
      <c r="I74" s="13"/>
      <c r="J74" s="13"/>
      <c r="K74" s="13"/>
    </row>
    <row r="75" spans="1:12" x14ac:dyDescent="0.25">
      <c r="B75" s="4" t="s">
        <v>43</v>
      </c>
      <c r="C75" s="85" t="s">
        <v>13</v>
      </c>
      <c r="D75" s="10" t="s">
        <v>39</v>
      </c>
      <c r="G75" s="13"/>
    </row>
    <row r="76" spans="1:12" x14ac:dyDescent="0.25">
      <c r="C76" s="85" t="s">
        <v>20</v>
      </c>
      <c r="D76" s="10" t="s">
        <v>40</v>
      </c>
    </row>
    <row r="77" spans="1:12" x14ac:dyDescent="0.25">
      <c r="C77" s="85" t="s">
        <v>21</v>
      </c>
      <c r="D77" s="10" t="s">
        <v>41</v>
      </c>
    </row>
    <row r="78" spans="1:12" x14ac:dyDescent="0.25">
      <c r="C78" s="5" t="s">
        <v>22</v>
      </c>
      <c r="D78" s="10" t="s">
        <v>42</v>
      </c>
    </row>
    <row r="80" spans="1:12" x14ac:dyDescent="0.25">
      <c r="B80" s="4" t="s">
        <v>44</v>
      </c>
      <c r="C80" s="9" t="s">
        <v>29</v>
      </c>
      <c r="D80" s="13">
        <v>0.125</v>
      </c>
    </row>
    <row r="81" spans="3:4" x14ac:dyDescent="0.25">
      <c r="C81" s="9" t="s">
        <v>30</v>
      </c>
      <c r="D81" s="13">
        <v>6.25E-2</v>
      </c>
    </row>
    <row r="82" spans="3:4" x14ac:dyDescent="0.25">
      <c r="C82" s="9" t="s">
        <v>31</v>
      </c>
      <c r="D82" s="13">
        <v>3.125E-2</v>
      </c>
    </row>
  </sheetData>
  <sheetProtection algorithmName="SHA-512" hashValue="zf9317jDY4FrGD+2xRfGAEb7C+Pw/LL4ct6ow8muJ+lkznlUtYE0pNVUNHTbseFqtvceKw0ffUViWKaJHWb7MA==" saltValue="IkFUmI8xta7lwjHGhEwH3Q==" spinCount="100000" sheet="1" objects="1" scenarios="1"/>
  <mergeCells count="4">
    <mergeCell ref="C1:F1"/>
    <mergeCell ref="G1:I1"/>
    <mergeCell ref="J1:K1"/>
    <mergeCell ref="L40:L44"/>
  </mergeCells>
  <dataValidations disablePrompts="1" count="12">
    <dataValidation type="list" allowBlank="1" showInputMessage="1" showErrorMessage="1" sqref="C4:F4 H4:I4 K4:P4">
      <formula1>"AMC 2x3, AMC 1x6, AMC 1x3"</formula1>
    </dataValidation>
    <dataValidation type="list" allowBlank="1" showInputMessage="1" showErrorMessage="1" sqref="C8:K8">
      <formula1>"1,=1/2,=1/3,=1/4"</formula1>
    </dataValidation>
    <dataValidation type="list" allowBlank="1" showInputMessage="1" showErrorMessage="1" sqref="C29:K29">
      <formula1>"1,2,3,4"</formula1>
    </dataValidation>
    <dataValidation type="list" allowBlank="1" showInputMessage="1" showErrorMessage="1" sqref="J25">
      <formula1>"12.5,20,25,40,50"</formula1>
    </dataValidation>
    <dataValidation type="list" allowBlank="1" showInputMessage="1" showErrorMessage="1" sqref="C22:K22 H25:I25 K25 D25:F25">
      <formula1>$C$80:$C$82</formula1>
    </dataValidation>
    <dataValidation type="list" allowBlank="1" showInputMessage="1" showErrorMessage="1" sqref="C15:K15">
      <formula1>$C$75:$C$78</formula1>
    </dataValidation>
    <dataValidation type="list" allowBlank="1" showInputMessage="1" showErrorMessage="1" sqref="C53">
      <formula1>"1.0,1.4,1.6,1.8,2.0,2.2,2.4,2.6"</formula1>
    </dataValidation>
    <dataValidation type="list" allowBlank="1" showInputMessage="1" showErrorMessage="1" sqref="C25">
      <formula1>"5,10,12.5,20,25"</formula1>
    </dataValidation>
    <dataValidation type="list" allowBlank="1" showInputMessage="1" showErrorMessage="1" sqref="G25">
      <formula1>"10,12.5,20,25,40"</formula1>
    </dataValidation>
    <dataValidation type="list" allowBlank="1" showInputMessage="1" showErrorMessage="1" sqref="G4 J4">
      <formula1>"AMC 1x6, AMC 1x3"</formula1>
    </dataValidation>
    <dataValidation type="list" allowBlank="1" showInputMessage="1" showErrorMessage="1" sqref="C37 G37 J37">
      <formula1>"0,1,2,3,4,5"</formula1>
    </dataValidation>
    <dataValidation type="list" allowBlank="1" showInputMessage="1" showErrorMessage="1" sqref="C48">
      <formula1>"0.1,0.25,0.5,.75,1,1.25,1.5,2.0,3,4,5,6,7,8,9,10"</formula1>
    </dataValidation>
  </dataValidations>
  <pageMargins left="0.7" right="0.7" top="0.75" bottom="0.75" header="0.3" footer="0.3"/>
  <pageSetup scale="50" orientation="portrait" r:id="rId1"/>
  <headerFooter>
    <oddHeader>&amp;C&amp;F</oddHeader>
    <oddFooter>&amp;LDoug Gray&amp;CAffiliation: EPRI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Layout" zoomScaleNormal="100" workbookViewId="0">
      <selection activeCell="B31" sqref="B31"/>
    </sheetView>
  </sheetViews>
  <sheetFormatPr defaultRowHeight="15" x14ac:dyDescent="0.25"/>
  <cols>
    <col min="1" max="1" width="11.7109375" customWidth="1"/>
    <col min="2" max="2" width="12.7109375" customWidth="1"/>
    <col min="3" max="7" width="11.7109375" customWidth="1"/>
    <col min="8" max="8" width="40.7109375" customWidth="1"/>
  </cols>
  <sheetData>
    <row r="1" spans="1:8" ht="15.75" x14ac:dyDescent="0.25">
      <c r="A1" s="315" t="s">
        <v>106</v>
      </c>
      <c r="B1" s="316"/>
      <c r="C1" s="316"/>
      <c r="D1" s="316"/>
      <c r="E1" s="316"/>
      <c r="F1" s="316"/>
      <c r="G1" s="316"/>
      <c r="H1" s="317"/>
    </row>
    <row r="2" spans="1:8" ht="45" x14ac:dyDescent="0.25">
      <c r="A2" s="227" t="s">
        <v>90</v>
      </c>
      <c r="B2" s="227" t="s">
        <v>92</v>
      </c>
      <c r="C2" s="227" t="s">
        <v>105</v>
      </c>
      <c r="D2" s="227" t="s">
        <v>93</v>
      </c>
      <c r="E2" s="227" t="s">
        <v>94</v>
      </c>
      <c r="F2" s="227" t="s">
        <v>96</v>
      </c>
      <c r="G2" s="227" t="s">
        <v>73</v>
      </c>
      <c r="H2" s="29"/>
    </row>
    <row r="3" spans="1:8" x14ac:dyDescent="0.25">
      <c r="A3" s="228">
        <v>0.10000000000000007</v>
      </c>
      <c r="B3" s="229" t="s">
        <v>98</v>
      </c>
      <c r="C3" s="230">
        <v>12.5</v>
      </c>
      <c r="D3" s="231" t="s">
        <v>59</v>
      </c>
      <c r="E3" s="232">
        <v>1</v>
      </c>
      <c r="F3" s="231" t="s">
        <v>95</v>
      </c>
      <c r="G3" s="231" t="str">
        <f>F3</f>
        <v>n/a</v>
      </c>
      <c r="H3" s="129"/>
    </row>
    <row r="4" spans="1:8" x14ac:dyDescent="0.25">
      <c r="A4" s="228">
        <v>0.10000000000000007</v>
      </c>
      <c r="B4" s="229" t="s">
        <v>31</v>
      </c>
      <c r="C4" s="230">
        <v>12.5</v>
      </c>
      <c r="D4" s="231" t="s">
        <v>59</v>
      </c>
      <c r="E4" s="232">
        <v>2</v>
      </c>
      <c r="F4" s="231">
        <v>1</v>
      </c>
      <c r="G4" s="233">
        <v>0.23039999999999983</v>
      </c>
      <c r="H4" s="88"/>
    </row>
    <row r="5" spans="1:8" x14ac:dyDescent="0.25">
      <c r="A5" s="135">
        <v>0.10000000000000007</v>
      </c>
      <c r="B5" s="234" t="s">
        <v>29</v>
      </c>
      <c r="C5" s="235">
        <v>20</v>
      </c>
      <c r="D5" s="76" t="s">
        <v>59</v>
      </c>
      <c r="E5" s="48">
        <v>9</v>
      </c>
      <c r="F5" s="76">
        <v>8</v>
      </c>
      <c r="G5" s="236">
        <v>0.64799999999999969</v>
      </c>
      <c r="H5" s="306" t="s">
        <v>102</v>
      </c>
    </row>
    <row r="6" spans="1:8" x14ac:dyDescent="0.25">
      <c r="A6" s="310">
        <v>0.10000000000000007</v>
      </c>
      <c r="B6" s="280" t="s">
        <v>99</v>
      </c>
      <c r="C6" s="311">
        <v>20</v>
      </c>
      <c r="D6" s="312" t="s">
        <v>59</v>
      </c>
      <c r="E6" s="313">
        <v>10</v>
      </c>
      <c r="F6" s="312">
        <v>9</v>
      </c>
      <c r="G6" s="314">
        <v>0.71999999999999953</v>
      </c>
      <c r="H6" s="305"/>
    </row>
    <row r="7" spans="1:8" x14ac:dyDescent="0.25">
      <c r="A7" s="237">
        <v>0.10000000000000007</v>
      </c>
      <c r="B7" s="14" t="s">
        <v>29</v>
      </c>
      <c r="C7" s="3">
        <v>25</v>
      </c>
      <c r="D7" s="77" t="s">
        <v>59</v>
      </c>
      <c r="E7" s="35">
        <v>14</v>
      </c>
      <c r="F7" s="77" t="s">
        <v>100</v>
      </c>
      <c r="G7" s="40">
        <v>0.80639999999999945</v>
      </c>
      <c r="H7" s="305"/>
    </row>
    <row r="8" spans="1:8" x14ac:dyDescent="0.25">
      <c r="A8" s="237">
        <v>0.10000000000000007</v>
      </c>
      <c r="B8" s="14" t="s">
        <v>30</v>
      </c>
      <c r="C8" s="3">
        <v>25</v>
      </c>
      <c r="D8" s="77" t="s">
        <v>59</v>
      </c>
      <c r="E8" s="35">
        <v>15</v>
      </c>
      <c r="F8" s="77" t="s">
        <v>100</v>
      </c>
      <c r="G8" s="40">
        <v>0.86399999999999932</v>
      </c>
      <c r="H8" s="305"/>
    </row>
    <row r="9" spans="1:8" x14ac:dyDescent="0.25">
      <c r="A9" s="237">
        <v>0.10000000000000007</v>
      </c>
      <c r="B9" s="14" t="s">
        <v>31</v>
      </c>
      <c r="C9" s="3">
        <v>25</v>
      </c>
      <c r="D9" s="77" t="s">
        <v>59</v>
      </c>
      <c r="E9" s="35">
        <v>16</v>
      </c>
      <c r="F9" s="77" t="s">
        <v>100</v>
      </c>
      <c r="G9" s="40">
        <v>0.92159999999999931</v>
      </c>
      <c r="H9" s="305"/>
    </row>
    <row r="10" spans="1:8" x14ac:dyDescent="0.25">
      <c r="A10" s="135">
        <v>0.10000000000000007</v>
      </c>
      <c r="B10" s="234" t="s">
        <v>29</v>
      </c>
      <c r="C10" s="235">
        <v>25</v>
      </c>
      <c r="D10" s="76" t="s">
        <v>86</v>
      </c>
      <c r="E10" s="48">
        <v>6</v>
      </c>
      <c r="F10" s="76">
        <v>5</v>
      </c>
      <c r="G10" s="236">
        <v>0.69119999999999959</v>
      </c>
      <c r="H10" s="306" t="s">
        <v>103</v>
      </c>
    </row>
    <row r="11" spans="1:8" x14ac:dyDescent="0.25">
      <c r="A11" s="206">
        <v>0.10000000000000007</v>
      </c>
      <c r="B11" s="280" t="s">
        <v>99</v>
      </c>
      <c r="C11" s="281">
        <v>25</v>
      </c>
      <c r="D11" s="282" t="s">
        <v>86</v>
      </c>
      <c r="E11" s="283">
        <v>7</v>
      </c>
      <c r="F11" s="284">
        <v>6</v>
      </c>
      <c r="G11" s="285">
        <v>0.80639999999999945</v>
      </c>
      <c r="H11" s="305"/>
    </row>
    <row r="12" spans="1:8" x14ac:dyDescent="0.25">
      <c r="A12" s="260">
        <v>0.10000000000000007</v>
      </c>
      <c r="B12" s="261" t="s">
        <v>101</v>
      </c>
      <c r="C12" s="262">
        <v>40</v>
      </c>
      <c r="D12" s="263" t="s">
        <v>86</v>
      </c>
      <c r="E12" s="264">
        <v>15</v>
      </c>
      <c r="F12" s="263" t="s">
        <v>100</v>
      </c>
      <c r="G12" s="265">
        <v>1.0799999999999992</v>
      </c>
      <c r="H12" s="309" t="s">
        <v>107</v>
      </c>
    </row>
    <row r="13" spans="1:8" x14ac:dyDescent="0.25">
      <c r="A13" s="272"/>
      <c r="B13" s="273"/>
      <c r="C13" s="274"/>
      <c r="D13" s="275"/>
      <c r="E13" s="276"/>
      <c r="F13" s="275"/>
      <c r="G13" s="277"/>
      <c r="H13" s="299"/>
    </row>
    <row r="14" spans="1:8" x14ac:dyDescent="0.25">
      <c r="A14" s="266">
        <v>0.15000000000000008</v>
      </c>
      <c r="B14" s="267" t="s">
        <v>29</v>
      </c>
      <c r="C14" s="268">
        <v>12.5</v>
      </c>
      <c r="D14" s="269" t="s">
        <v>59</v>
      </c>
      <c r="E14" s="270">
        <v>7</v>
      </c>
      <c r="F14" s="269">
        <v>6</v>
      </c>
      <c r="G14" s="271">
        <v>0.53759999999999974</v>
      </c>
      <c r="H14" s="304" t="s">
        <v>102</v>
      </c>
    </row>
    <row r="15" spans="1:8" x14ac:dyDescent="0.25">
      <c r="A15" s="237">
        <v>0.15000000000000008</v>
      </c>
      <c r="B15" s="14" t="s">
        <v>99</v>
      </c>
      <c r="C15" s="3">
        <v>12.5</v>
      </c>
      <c r="D15" s="77" t="s">
        <v>59</v>
      </c>
      <c r="E15" s="35">
        <v>8</v>
      </c>
      <c r="F15" s="77">
        <v>7</v>
      </c>
      <c r="G15" s="241">
        <v>0.61439999999999961</v>
      </c>
      <c r="H15" s="305"/>
    </row>
    <row r="16" spans="1:8" x14ac:dyDescent="0.25">
      <c r="A16" s="237">
        <v>0.15000000000000008</v>
      </c>
      <c r="B16" s="14" t="s">
        <v>29</v>
      </c>
      <c r="C16" s="3">
        <v>20</v>
      </c>
      <c r="D16" s="77" t="s">
        <v>59</v>
      </c>
      <c r="E16" s="35">
        <v>19</v>
      </c>
      <c r="F16" s="77" t="s">
        <v>100</v>
      </c>
      <c r="G16" s="40">
        <v>0.91199999999999959</v>
      </c>
      <c r="H16" s="305"/>
    </row>
    <row r="17" spans="1:8" x14ac:dyDescent="0.25">
      <c r="A17" s="237">
        <v>0.15000000000000008</v>
      </c>
      <c r="B17" s="14" t="s">
        <v>30</v>
      </c>
      <c r="C17" s="3">
        <v>20</v>
      </c>
      <c r="D17" s="77" t="s">
        <v>59</v>
      </c>
      <c r="E17" s="35">
        <v>20</v>
      </c>
      <c r="F17" s="77" t="s">
        <v>100</v>
      </c>
      <c r="G17" s="40">
        <v>0.95999999999999941</v>
      </c>
      <c r="H17" s="305"/>
    </row>
    <row r="18" spans="1:8" x14ac:dyDescent="0.25">
      <c r="A18" s="237">
        <v>0.15000000000000008</v>
      </c>
      <c r="B18" s="14" t="s">
        <v>31</v>
      </c>
      <c r="C18" s="3">
        <v>20</v>
      </c>
      <c r="D18" s="77" t="s">
        <v>59</v>
      </c>
      <c r="E18" s="35">
        <v>21</v>
      </c>
      <c r="F18" s="77" t="s">
        <v>100</v>
      </c>
      <c r="G18" s="40">
        <v>1.0079999999999996</v>
      </c>
      <c r="H18" s="305"/>
    </row>
    <row r="19" spans="1:8" x14ac:dyDescent="0.25">
      <c r="A19" s="228">
        <v>0.15000000000000008</v>
      </c>
      <c r="B19" s="229" t="s">
        <v>101</v>
      </c>
      <c r="C19" s="230">
        <v>12.5</v>
      </c>
      <c r="D19" s="231" t="s">
        <v>86</v>
      </c>
      <c r="E19" s="232">
        <v>3</v>
      </c>
      <c r="F19" s="231">
        <v>2</v>
      </c>
      <c r="G19" s="233">
        <v>0.46079999999999977</v>
      </c>
      <c r="H19" s="305"/>
    </row>
    <row r="20" spans="1:8" x14ac:dyDescent="0.25">
      <c r="A20" s="135">
        <v>0.15000000000000008</v>
      </c>
      <c r="B20" s="234" t="s">
        <v>98</v>
      </c>
      <c r="C20" s="235">
        <v>20</v>
      </c>
      <c r="D20" s="76" t="s">
        <v>86</v>
      </c>
      <c r="E20" s="48">
        <v>9</v>
      </c>
      <c r="F20" s="76">
        <v>8</v>
      </c>
      <c r="G20" s="236">
        <v>0.86399999999999966</v>
      </c>
      <c r="H20" s="306" t="s">
        <v>103</v>
      </c>
    </row>
    <row r="21" spans="1:8" x14ac:dyDescent="0.25">
      <c r="A21" s="237">
        <v>0.15000000000000008</v>
      </c>
      <c r="B21" s="14" t="s">
        <v>31</v>
      </c>
      <c r="C21" s="3">
        <v>20</v>
      </c>
      <c r="D21" s="77" t="s">
        <v>86</v>
      </c>
      <c r="E21" s="35">
        <v>10</v>
      </c>
      <c r="F21" s="77">
        <v>9</v>
      </c>
      <c r="G21" s="40">
        <v>0.95999999999999941</v>
      </c>
      <c r="H21" s="305"/>
    </row>
    <row r="22" spans="1:8" x14ac:dyDescent="0.25">
      <c r="A22" s="135">
        <v>0.15000000000000008</v>
      </c>
      <c r="B22" s="234" t="s">
        <v>29</v>
      </c>
      <c r="C22" s="235">
        <v>25</v>
      </c>
      <c r="D22" s="76" t="s">
        <v>86</v>
      </c>
      <c r="E22" s="48">
        <v>13</v>
      </c>
      <c r="F22" s="76" t="s">
        <v>100</v>
      </c>
      <c r="G22" s="236">
        <v>0.9983999999999994</v>
      </c>
      <c r="H22" s="309" t="s">
        <v>107</v>
      </c>
    </row>
    <row r="23" spans="1:8" x14ac:dyDescent="0.25">
      <c r="H23" s="299"/>
    </row>
    <row r="24" spans="1:8" x14ac:dyDescent="0.25">
      <c r="A24" s="228">
        <v>0.20000000000000007</v>
      </c>
      <c r="B24" s="229" t="s">
        <v>29</v>
      </c>
      <c r="C24" s="230">
        <v>10</v>
      </c>
      <c r="D24" s="231" t="s">
        <v>59</v>
      </c>
      <c r="E24" s="232">
        <v>3</v>
      </c>
      <c r="F24" s="231">
        <v>2</v>
      </c>
      <c r="G24" s="233">
        <v>0.28799999999999987</v>
      </c>
      <c r="H24" s="308"/>
    </row>
    <row r="25" spans="1:8" x14ac:dyDescent="0.25">
      <c r="A25" s="242">
        <v>0.20000000000000007</v>
      </c>
      <c r="B25" s="229" t="s">
        <v>99</v>
      </c>
      <c r="C25" s="243">
        <v>10</v>
      </c>
      <c r="D25" s="130" t="s">
        <v>59</v>
      </c>
      <c r="E25" s="210">
        <v>4</v>
      </c>
      <c r="F25" s="244">
        <v>3</v>
      </c>
      <c r="G25" s="245">
        <v>0.3839999999999999</v>
      </c>
      <c r="H25" s="305"/>
    </row>
    <row r="26" spans="1:8" x14ac:dyDescent="0.25">
      <c r="A26" s="286">
        <v>0.20000000000000007</v>
      </c>
      <c r="B26" s="287" t="s">
        <v>29</v>
      </c>
      <c r="C26" s="288">
        <v>12.5</v>
      </c>
      <c r="D26" s="289" t="s">
        <v>59</v>
      </c>
      <c r="E26" s="290">
        <v>7</v>
      </c>
      <c r="F26" s="291">
        <v>6</v>
      </c>
      <c r="G26" s="292">
        <v>0.53759999999999986</v>
      </c>
      <c r="H26" s="306" t="s">
        <v>102</v>
      </c>
    </row>
    <row r="27" spans="1:8" x14ac:dyDescent="0.25">
      <c r="A27" s="246">
        <v>0.20000000000000007</v>
      </c>
      <c r="B27" s="247" t="s">
        <v>99</v>
      </c>
      <c r="C27" s="248">
        <v>12.5</v>
      </c>
      <c r="D27" s="249" t="s">
        <v>59</v>
      </c>
      <c r="E27" s="209">
        <v>8</v>
      </c>
      <c r="F27" s="250">
        <v>7</v>
      </c>
      <c r="G27" s="251">
        <v>0.61439999999999984</v>
      </c>
      <c r="H27" s="305"/>
    </row>
    <row r="28" spans="1:8" x14ac:dyDescent="0.25">
      <c r="A28" s="135">
        <v>0.20000000000000007</v>
      </c>
      <c r="B28" s="234" t="s">
        <v>29</v>
      </c>
      <c r="C28" s="235">
        <v>20</v>
      </c>
      <c r="D28" s="76" t="s">
        <v>59</v>
      </c>
      <c r="E28" s="48">
        <v>19</v>
      </c>
      <c r="F28" s="76" t="s">
        <v>100</v>
      </c>
      <c r="G28" s="236">
        <v>0.91199999999999981</v>
      </c>
      <c r="H28" s="306" t="s">
        <v>108</v>
      </c>
    </row>
    <row r="29" spans="1:8" x14ac:dyDescent="0.25">
      <c r="A29" s="237">
        <v>0.20000000000000007</v>
      </c>
      <c r="B29" s="14" t="s">
        <v>30</v>
      </c>
      <c r="C29" s="3">
        <v>20</v>
      </c>
      <c r="D29" s="77" t="s">
        <v>59</v>
      </c>
      <c r="E29" s="35">
        <v>20</v>
      </c>
      <c r="F29" s="77" t="s">
        <v>100</v>
      </c>
      <c r="G29" s="40">
        <v>0.95999999999999974</v>
      </c>
      <c r="H29" s="305"/>
    </row>
    <row r="30" spans="1:8" x14ac:dyDescent="0.25">
      <c r="A30" s="237">
        <v>0.20000000000000007</v>
      </c>
      <c r="B30" s="14" t="s">
        <v>31</v>
      </c>
      <c r="C30" s="3">
        <v>20</v>
      </c>
      <c r="D30" s="77" t="s">
        <v>59</v>
      </c>
      <c r="E30" s="35">
        <v>21</v>
      </c>
      <c r="F30" s="77" t="s">
        <v>100</v>
      </c>
      <c r="G30" s="40">
        <v>1.0079999999999998</v>
      </c>
      <c r="H30" s="305"/>
    </row>
    <row r="31" spans="1:8" x14ac:dyDescent="0.25">
      <c r="A31" s="228">
        <v>0.20000000000000007</v>
      </c>
      <c r="B31" s="229" t="s">
        <v>101</v>
      </c>
      <c r="C31" s="230">
        <v>10</v>
      </c>
      <c r="D31" s="231" t="s">
        <v>86</v>
      </c>
      <c r="E31" s="232">
        <v>1</v>
      </c>
      <c r="F31" s="231" t="s">
        <v>95</v>
      </c>
      <c r="G31" s="233" t="str">
        <f>F31</f>
        <v>n/a</v>
      </c>
      <c r="H31" s="305"/>
    </row>
    <row r="32" spans="1:8" x14ac:dyDescent="0.25">
      <c r="A32" s="228">
        <v>0.20000000000000007</v>
      </c>
      <c r="B32" s="229" t="s">
        <v>101</v>
      </c>
      <c r="C32" s="230">
        <v>12.5</v>
      </c>
      <c r="D32" s="231" t="s">
        <v>86</v>
      </c>
      <c r="E32" s="232">
        <v>3</v>
      </c>
      <c r="F32" s="231">
        <v>2</v>
      </c>
      <c r="G32" s="233">
        <v>0.46079999999999988</v>
      </c>
      <c r="H32" s="305"/>
    </row>
    <row r="33" spans="1:8" x14ac:dyDescent="0.25">
      <c r="A33" s="135">
        <v>0.20000000000000007</v>
      </c>
      <c r="B33" s="234" t="s">
        <v>98</v>
      </c>
      <c r="C33" s="235">
        <v>20</v>
      </c>
      <c r="D33" s="76" t="s">
        <v>86</v>
      </c>
      <c r="E33" s="48">
        <v>9</v>
      </c>
      <c r="F33" s="76">
        <v>8</v>
      </c>
      <c r="G33" s="236">
        <v>0.86399999999999977</v>
      </c>
      <c r="H33" s="306" t="s">
        <v>103</v>
      </c>
    </row>
    <row r="34" spans="1:8" x14ac:dyDescent="0.25">
      <c r="A34" s="206">
        <v>0.20000000000000007</v>
      </c>
      <c r="B34" s="278" t="s">
        <v>31</v>
      </c>
      <c r="C34" s="252">
        <v>20</v>
      </c>
      <c r="D34" s="253" t="s">
        <v>86</v>
      </c>
      <c r="E34" s="208">
        <v>10</v>
      </c>
      <c r="F34" s="207">
        <v>9</v>
      </c>
      <c r="G34" s="279">
        <v>0.95999999999999974</v>
      </c>
      <c r="H34" s="305"/>
    </row>
    <row r="35" spans="1:8" x14ac:dyDescent="0.25">
      <c r="A35" s="238">
        <v>0.20000000000000007</v>
      </c>
      <c r="B35" s="300" t="s">
        <v>29</v>
      </c>
      <c r="C35" s="301">
        <v>25</v>
      </c>
      <c r="D35" s="302" t="s">
        <v>86</v>
      </c>
      <c r="E35" s="303">
        <v>13</v>
      </c>
      <c r="F35" s="239" t="s">
        <v>100</v>
      </c>
      <c r="G35" s="240">
        <v>0.99839999999999973</v>
      </c>
      <c r="H35" s="309" t="s">
        <v>107</v>
      </c>
    </row>
    <row r="36" spans="1:8" x14ac:dyDescent="0.25">
      <c r="A36" s="272"/>
      <c r="B36" s="273"/>
      <c r="C36" s="274"/>
      <c r="D36" s="275"/>
      <c r="E36" s="276"/>
      <c r="F36" s="275"/>
      <c r="G36" s="277"/>
      <c r="H36" s="299"/>
    </row>
    <row r="37" spans="1:8" x14ac:dyDescent="0.25">
      <c r="A37" s="293">
        <v>0.25000000000000006</v>
      </c>
      <c r="B37" s="294" t="s">
        <v>29</v>
      </c>
      <c r="C37" s="295">
        <v>10</v>
      </c>
      <c r="D37" s="296" t="s">
        <v>59</v>
      </c>
      <c r="E37" s="297">
        <v>7</v>
      </c>
      <c r="F37" s="296">
        <v>6</v>
      </c>
      <c r="G37" s="298">
        <v>0.53759999999999986</v>
      </c>
      <c r="H37" s="304" t="s">
        <v>102</v>
      </c>
    </row>
    <row r="38" spans="1:8" x14ac:dyDescent="0.25">
      <c r="A38" s="237">
        <v>0.25000000000000006</v>
      </c>
      <c r="B38" s="14" t="s">
        <v>99</v>
      </c>
      <c r="C38" s="3">
        <v>10</v>
      </c>
      <c r="D38" s="77" t="s">
        <v>59</v>
      </c>
      <c r="E38" s="35">
        <v>8</v>
      </c>
      <c r="F38" s="77">
        <v>7</v>
      </c>
      <c r="G38" s="40">
        <v>0.61439999999999984</v>
      </c>
      <c r="H38" s="305"/>
    </row>
    <row r="39" spans="1:8" x14ac:dyDescent="0.25">
      <c r="A39" s="135">
        <v>0.25000000000000006</v>
      </c>
      <c r="B39" s="234" t="s">
        <v>29</v>
      </c>
      <c r="C39" s="235">
        <v>12.5</v>
      </c>
      <c r="D39" s="76" t="s">
        <v>59</v>
      </c>
      <c r="E39" s="48">
        <v>12</v>
      </c>
      <c r="F39" s="76" t="s">
        <v>100</v>
      </c>
      <c r="G39" s="236">
        <v>0.73727999999999982</v>
      </c>
      <c r="H39" s="306" t="s">
        <v>108</v>
      </c>
    </row>
    <row r="40" spans="1:8" x14ac:dyDescent="0.25">
      <c r="A40" s="237">
        <v>0.25000000000000006</v>
      </c>
      <c r="B40" s="14" t="s">
        <v>30</v>
      </c>
      <c r="C40" s="3">
        <v>12.5</v>
      </c>
      <c r="D40" s="77" t="s">
        <v>59</v>
      </c>
      <c r="E40" s="35">
        <v>13</v>
      </c>
      <c r="F40" s="77" t="s">
        <v>100</v>
      </c>
      <c r="G40" s="40">
        <v>0.79871999999999987</v>
      </c>
      <c r="H40" s="305"/>
    </row>
    <row r="41" spans="1:8" x14ac:dyDescent="0.25">
      <c r="A41" s="237">
        <v>0.25000000000000006</v>
      </c>
      <c r="B41" s="14" t="s">
        <v>31</v>
      </c>
      <c r="C41" s="3">
        <v>12.5</v>
      </c>
      <c r="D41" s="77" t="s">
        <v>59</v>
      </c>
      <c r="E41" s="35">
        <v>14</v>
      </c>
      <c r="F41" s="77" t="s">
        <v>100</v>
      </c>
      <c r="G41" s="40">
        <v>0.86015999999999992</v>
      </c>
      <c r="H41" s="305"/>
    </row>
    <row r="42" spans="1:8" x14ac:dyDescent="0.25">
      <c r="A42" s="228">
        <v>0.25000000000000006</v>
      </c>
      <c r="B42" s="229" t="s">
        <v>101</v>
      </c>
      <c r="C42" s="230">
        <v>10</v>
      </c>
      <c r="D42" s="231" t="s">
        <v>86</v>
      </c>
      <c r="E42" s="232">
        <v>3</v>
      </c>
      <c r="F42" s="231">
        <v>2</v>
      </c>
      <c r="G42" s="233">
        <v>0.46079999999999988</v>
      </c>
      <c r="H42" s="305"/>
    </row>
    <row r="43" spans="1:8" x14ac:dyDescent="0.25">
      <c r="A43" s="135">
        <v>0.25000000000000006</v>
      </c>
      <c r="B43" s="234" t="s">
        <v>29</v>
      </c>
      <c r="C43" s="235">
        <v>12.5</v>
      </c>
      <c r="D43" s="76" t="s">
        <v>86</v>
      </c>
      <c r="E43" s="48">
        <v>5</v>
      </c>
      <c r="F43" s="76">
        <v>4</v>
      </c>
      <c r="G43" s="236">
        <v>0.61439999999999984</v>
      </c>
      <c r="H43" s="306" t="s">
        <v>103</v>
      </c>
    </row>
    <row r="44" spans="1:8" x14ac:dyDescent="0.25">
      <c r="A44" s="237">
        <v>0.25000000000000006</v>
      </c>
      <c r="B44" s="14" t="s">
        <v>99</v>
      </c>
      <c r="C44" s="3">
        <v>12.5</v>
      </c>
      <c r="D44" s="77" t="s">
        <v>86</v>
      </c>
      <c r="E44" s="35">
        <v>6</v>
      </c>
      <c r="F44" s="77">
        <v>5</v>
      </c>
      <c r="G44" s="40">
        <v>0.73727999999999982</v>
      </c>
      <c r="H44" s="88"/>
    </row>
    <row r="45" spans="1:8" x14ac:dyDescent="0.25">
      <c r="A45" s="135">
        <v>0.25000000000000006</v>
      </c>
      <c r="B45" s="234" t="s">
        <v>98</v>
      </c>
      <c r="C45" s="235">
        <v>20</v>
      </c>
      <c r="D45" s="76" t="s">
        <v>86</v>
      </c>
      <c r="E45" s="48">
        <v>13</v>
      </c>
      <c r="F45" s="76" t="s">
        <v>100</v>
      </c>
      <c r="G45" s="236">
        <v>0.99839999999999973</v>
      </c>
      <c r="H45" s="306" t="s">
        <v>107</v>
      </c>
    </row>
    <row r="46" spans="1:8" x14ac:dyDescent="0.25">
      <c r="A46" s="237">
        <v>0.25000000000000006</v>
      </c>
      <c r="B46" s="14" t="s">
        <v>31</v>
      </c>
      <c r="C46" s="3">
        <v>20</v>
      </c>
      <c r="D46" s="77" t="s">
        <v>86</v>
      </c>
      <c r="E46" s="35">
        <v>14</v>
      </c>
      <c r="F46" s="77" t="s">
        <v>100</v>
      </c>
      <c r="G46" s="40">
        <v>1.0751999999999997</v>
      </c>
      <c r="H46" s="307"/>
    </row>
    <row r="47" spans="1:8" x14ac:dyDescent="0.25">
      <c r="A47" s="254"/>
      <c r="B47" s="255"/>
      <c r="C47" s="256"/>
      <c r="D47" s="257"/>
      <c r="E47" s="258"/>
      <c r="F47" s="257"/>
      <c r="G47" s="259"/>
    </row>
    <row r="48" spans="1:8" x14ac:dyDescent="0.25">
      <c r="A48" s="135">
        <v>0.30000000000000004</v>
      </c>
      <c r="B48" s="234" t="s">
        <v>29</v>
      </c>
      <c r="C48" s="235">
        <v>10</v>
      </c>
      <c r="D48" s="76" t="s">
        <v>59</v>
      </c>
      <c r="E48" s="48">
        <v>11</v>
      </c>
      <c r="F48" s="76" t="s">
        <v>100</v>
      </c>
      <c r="G48" s="236">
        <v>0.70399999999999985</v>
      </c>
      <c r="H48" s="304" t="s">
        <v>102</v>
      </c>
    </row>
    <row r="49" spans="1:8" x14ac:dyDescent="0.25">
      <c r="A49" s="237">
        <v>0.30000000000000004</v>
      </c>
      <c r="B49" s="14" t="s">
        <v>30</v>
      </c>
      <c r="C49" s="3">
        <v>10</v>
      </c>
      <c r="D49" s="77" t="s">
        <v>59</v>
      </c>
      <c r="E49" s="35">
        <v>12</v>
      </c>
      <c r="F49" s="77" t="s">
        <v>100</v>
      </c>
      <c r="G49" s="40">
        <v>0.76799999999999979</v>
      </c>
      <c r="H49" s="88"/>
    </row>
    <row r="50" spans="1:8" x14ac:dyDescent="0.25">
      <c r="A50" s="237">
        <v>0.30000000000000004</v>
      </c>
      <c r="B50" s="14" t="s">
        <v>31</v>
      </c>
      <c r="C50" s="3">
        <v>10</v>
      </c>
      <c r="D50" s="77" t="s">
        <v>59</v>
      </c>
      <c r="E50" s="35">
        <v>13</v>
      </c>
      <c r="F50" s="77" t="s">
        <v>100</v>
      </c>
      <c r="G50" s="40">
        <v>0.83199999999999985</v>
      </c>
      <c r="H50" s="88"/>
    </row>
    <row r="51" spans="1:8" x14ac:dyDescent="0.25">
      <c r="A51" s="237">
        <v>0.30000000000000004</v>
      </c>
      <c r="B51" s="14" t="s">
        <v>98</v>
      </c>
      <c r="C51" s="3">
        <v>10</v>
      </c>
      <c r="D51" s="77" t="s">
        <v>86</v>
      </c>
      <c r="E51" s="35">
        <v>5</v>
      </c>
      <c r="F51" s="77">
        <v>4</v>
      </c>
      <c r="G51" s="40">
        <v>0.6399999999999999</v>
      </c>
      <c r="H51" s="88"/>
    </row>
    <row r="52" spans="1:8" x14ac:dyDescent="0.25">
      <c r="A52" s="237">
        <v>0.30000000000000004</v>
      </c>
      <c r="B52" s="14" t="s">
        <v>31</v>
      </c>
      <c r="C52" s="3">
        <v>10</v>
      </c>
      <c r="D52" s="77" t="s">
        <v>86</v>
      </c>
      <c r="E52" s="35">
        <v>6</v>
      </c>
      <c r="F52" s="77">
        <v>5</v>
      </c>
      <c r="G52" s="40">
        <v>0.76799999999999979</v>
      </c>
      <c r="H52" s="88"/>
    </row>
    <row r="53" spans="1:8" x14ac:dyDescent="0.25">
      <c r="A53" s="135">
        <v>0.30000000000000004</v>
      </c>
      <c r="B53" s="234" t="s">
        <v>98</v>
      </c>
      <c r="C53" s="235">
        <v>12.5</v>
      </c>
      <c r="D53" s="76" t="s">
        <v>86</v>
      </c>
      <c r="E53" s="48">
        <v>8</v>
      </c>
      <c r="F53" s="76">
        <v>7</v>
      </c>
      <c r="G53" s="236">
        <v>0.81919999999999982</v>
      </c>
      <c r="H53" s="306" t="s">
        <v>103</v>
      </c>
    </row>
    <row r="54" spans="1:8" x14ac:dyDescent="0.25">
      <c r="A54" s="237">
        <v>0.30000000000000004</v>
      </c>
      <c r="B54" s="14" t="s">
        <v>31</v>
      </c>
      <c r="C54" s="3">
        <v>12.5</v>
      </c>
      <c r="D54" s="77" t="s">
        <v>86</v>
      </c>
      <c r="E54" s="35">
        <v>9</v>
      </c>
      <c r="F54" s="77">
        <v>8</v>
      </c>
      <c r="G54" s="40">
        <v>0.92159999999999986</v>
      </c>
      <c r="H54" s="88"/>
    </row>
    <row r="55" spans="1:8" x14ac:dyDescent="0.25">
      <c r="A55" s="135">
        <v>0.30000000000000004</v>
      </c>
      <c r="B55" s="234" t="s">
        <v>29</v>
      </c>
      <c r="C55" s="235">
        <v>20</v>
      </c>
      <c r="D55" s="76" t="s">
        <v>86</v>
      </c>
      <c r="E55" s="48">
        <v>16</v>
      </c>
      <c r="F55" s="76" t="s">
        <v>100</v>
      </c>
      <c r="G55" s="236">
        <v>1.0239999999999998</v>
      </c>
      <c r="H55" s="306" t="s">
        <v>107</v>
      </c>
    </row>
    <row r="56" spans="1:8" x14ac:dyDescent="0.25">
      <c r="A56" s="237">
        <v>0.30000000000000004</v>
      </c>
      <c r="B56" s="14" t="s">
        <v>30</v>
      </c>
      <c r="C56" s="3">
        <v>20</v>
      </c>
      <c r="D56" s="77" t="s">
        <v>86</v>
      </c>
      <c r="E56" s="35">
        <v>17</v>
      </c>
      <c r="F56" s="77" t="s">
        <v>100</v>
      </c>
      <c r="G56" s="40">
        <v>1.0879999999999996</v>
      </c>
      <c r="H56" s="88"/>
    </row>
    <row r="57" spans="1:8" x14ac:dyDescent="0.25">
      <c r="A57" s="237">
        <v>0.30000000000000004</v>
      </c>
      <c r="B57" s="14" t="s">
        <v>31</v>
      </c>
      <c r="C57" s="3">
        <v>20</v>
      </c>
      <c r="D57" s="77" t="s">
        <v>86</v>
      </c>
      <c r="E57" s="35">
        <v>18</v>
      </c>
      <c r="F57" s="77" t="s">
        <v>100</v>
      </c>
      <c r="G57" s="40">
        <v>1.1519999999999999</v>
      </c>
      <c r="H57" s="307"/>
    </row>
  </sheetData>
  <dataValidations disablePrompts="1" count="5">
    <dataValidation type="list" allowBlank="1" showInputMessage="1" showErrorMessage="1" sqref="C25:C27 C34:C35">
      <formula1>"10,20,25,50"</formula1>
    </dataValidation>
    <dataValidation type="list" allowBlank="1" showInputMessage="1" showErrorMessage="1" sqref="D25:D27 D11 D34:D35">
      <formula1>"AMC 1x6, AMC 1x3"</formula1>
    </dataValidation>
    <dataValidation type="list" allowBlank="1" showInputMessage="1" showErrorMessage="1" sqref="B34">
      <formula1>$B$29:$B$31</formula1>
    </dataValidation>
    <dataValidation type="list" allowBlank="1" showInputMessage="1" showErrorMessage="1" sqref="C11">
      <formula1>"12.5,20,25,40,50"</formula1>
    </dataValidation>
    <dataValidation type="list" allowBlank="1" showInputMessage="1" showErrorMessage="1" sqref="B35">
      <formula1>$B$61:$B$63</formula1>
    </dataValidation>
  </dataValidations>
  <pageMargins left="0.7" right="0.7" top="0.75" bottom="0.75" header="0.3" footer="0.3"/>
  <pageSetup scale="73" fitToHeight="0" orientation="portrait" r:id="rId1"/>
  <headerFooter>
    <oddHeader>&amp;F</oddHeader>
    <oddFooter>&amp;LDoug Gray&amp;CAffiliation: EPRI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1-SubGroup 4</vt:lpstr>
      <vt:lpstr>2-SubGroup 3,2,1</vt:lpstr>
      <vt:lpstr>3-SG-1,2 Profiles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Gray</dc:creator>
  <cp:lastModifiedBy>Doug Gray</cp:lastModifiedBy>
  <cp:lastPrinted>2017-02-28T21:08:53Z</cp:lastPrinted>
  <dcterms:created xsi:type="dcterms:W3CDTF">2017-01-28T16:59:13Z</dcterms:created>
  <dcterms:modified xsi:type="dcterms:W3CDTF">2017-08-14T17:31:13Z</dcterms:modified>
</cp:coreProperties>
</file>