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sulting\Monogenic Manuscript\April 2019 Submission\Revision 1\"/>
    </mc:Choice>
  </mc:AlternateContent>
  <bookViews>
    <workbookView xWindow="120" yWindow="270" windowWidth="24920" windowHeight="11960"/>
  </bookViews>
  <sheets>
    <sheet name="Intellectual_Disability_Data" sheetId="1" r:id="rId1"/>
    <sheet name="Intellectual_Disability_Totals" sheetId="4" r:id="rId2"/>
    <sheet name="Physical_Disability_Data" sheetId="2" r:id="rId3"/>
    <sheet name="Physical_Disability_Totals" sheetId="5" r:id="rId4"/>
  </sheets>
  <definedNames>
    <definedName name="_xlnm._FilterDatabase" localSheetId="0" hidden="1">Intellectual_Disability_Data!$E$5:$E$159</definedName>
    <definedName name="_xlnm._FilterDatabase" localSheetId="2" hidden="1">Physical_Disability_Data!$E$5:$E$73</definedName>
    <definedName name="Prop_hosp">Intellectual_Disability_Data!$GE$14</definedName>
    <definedName name="Prop_Not_stated">Intellectual_Disability_Data!$GE$10</definedName>
    <definedName name="Prop_priv_accom">Intellectual_Disability_Data!$GE$6</definedName>
    <definedName name="Prop_req_accom">Intellectual_Disability_Data!$GE$11</definedName>
    <definedName name="Prop_residential">Intellectual_Disability_Data!$GE$13</definedName>
    <definedName name="Prop_supported">Intellectual_Disability_Data!$GE$12</definedName>
  </definedNames>
  <calcPr calcId="162913"/>
</workbook>
</file>

<file path=xl/calcChain.xml><?xml version="1.0" encoding="utf-8"?>
<calcChain xmlns="http://schemas.openxmlformats.org/spreadsheetml/2006/main">
  <c r="M62" i="4" l="1"/>
  <c r="M61" i="4"/>
  <c r="M60" i="4"/>
  <c r="M59" i="4"/>
  <c r="M58" i="4"/>
  <c r="M57" i="4"/>
  <c r="M56" i="4"/>
  <c r="M55" i="4"/>
  <c r="M54" i="4"/>
  <c r="M52" i="4"/>
  <c r="M51" i="4"/>
  <c r="M50" i="4"/>
  <c r="M49" i="4"/>
  <c r="M48" i="4"/>
  <c r="M47" i="4"/>
  <c r="M46" i="4"/>
  <c r="M45" i="4"/>
  <c r="M44" i="4"/>
  <c r="M41" i="4"/>
  <c r="M42" i="4"/>
  <c r="M40" i="4"/>
  <c r="M39" i="4"/>
  <c r="M38" i="4"/>
  <c r="M37" i="4"/>
  <c r="M36" i="4"/>
  <c r="M35" i="4"/>
  <c r="M34" i="4"/>
  <c r="M32" i="4"/>
  <c r="M31" i="4"/>
  <c r="M30" i="4"/>
  <c r="M29" i="4"/>
  <c r="M28" i="4"/>
  <c r="M27" i="4"/>
  <c r="M26" i="4"/>
  <c r="M25" i="4"/>
  <c r="M24" i="4"/>
  <c r="M22" i="4"/>
  <c r="M21" i="4"/>
  <c r="M20" i="4"/>
  <c r="M19" i="4"/>
  <c r="M18" i="4"/>
  <c r="M17" i="4"/>
  <c r="M16" i="4"/>
  <c r="M15" i="4"/>
  <c r="M14" i="4"/>
  <c r="M12" i="4"/>
  <c r="M11" i="4"/>
  <c r="M10" i="4"/>
  <c r="M9" i="4"/>
  <c r="M8" i="4"/>
  <c r="M7" i="4"/>
  <c r="M6" i="4"/>
  <c r="M5" i="4"/>
  <c r="M4" i="4"/>
  <c r="FW132" i="1"/>
  <c r="FW133" i="1"/>
  <c r="FW136" i="1"/>
  <c r="FW137" i="1"/>
  <c r="FW138" i="1"/>
  <c r="FW141" i="1"/>
  <c r="FW142" i="1"/>
  <c r="FW143" i="1"/>
  <c r="FW147" i="1"/>
  <c r="FW148" i="1"/>
  <c r="FW149" i="1"/>
  <c r="FW152" i="1"/>
  <c r="FW153" i="1"/>
  <c r="FW154" i="1"/>
  <c r="FW157" i="1"/>
  <c r="FW158" i="1"/>
  <c r="FW159" i="1"/>
  <c r="FW131" i="1"/>
  <c r="FW126" i="1"/>
  <c r="FW127" i="1"/>
  <c r="FW125" i="1"/>
  <c r="FW121" i="1"/>
  <c r="FW122" i="1"/>
  <c r="FW120" i="1"/>
  <c r="FW116" i="1"/>
  <c r="FW117" i="1"/>
  <c r="FW115" i="1"/>
  <c r="FW104" i="1"/>
  <c r="FW105" i="1"/>
  <c r="FW106" i="1"/>
  <c r="FW107" i="1"/>
  <c r="FW108" i="1"/>
  <c r="FW109" i="1"/>
  <c r="FW110" i="1"/>
  <c r="FW111" i="1"/>
  <c r="FW103" i="1"/>
  <c r="FW93" i="1"/>
  <c r="FW94" i="1"/>
  <c r="FW95" i="1"/>
  <c r="FW96" i="1"/>
  <c r="FW97" i="1"/>
  <c r="FW98" i="1"/>
  <c r="FW99" i="1"/>
  <c r="FW100" i="1"/>
  <c r="FW92" i="1"/>
  <c r="FW82" i="1"/>
  <c r="FW83" i="1"/>
  <c r="FW84" i="1"/>
  <c r="FW85" i="1"/>
  <c r="FW86" i="1"/>
  <c r="FW87" i="1"/>
  <c r="FW88" i="1"/>
  <c r="FW89" i="1"/>
  <c r="FW81" i="1"/>
  <c r="L62" i="4"/>
  <c r="L61" i="4"/>
  <c r="L60" i="4"/>
  <c r="L59" i="4"/>
  <c r="L58" i="4"/>
  <c r="L57" i="4"/>
  <c r="L56" i="4"/>
  <c r="L55" i="4"/>
  <c r="L54" i="4"/>
  <c r="L52" i="4"/>
  <c r="L51" i="4"/>
  <c r="L50" i="4"/>
  <c r="L49" i="4"/>
  <c r="L48" i="4"/>
  <c r="L47" i="4"/>
  <c r="L46" i="4"/>
  <c r="L45" i="4"/>
  <c r="L44" i="4"/>
  <c r="L42" i="4"/>
  <c r="L41" i="4"/>
  <c r="L40" i="4"/>
  <c r="L39" i="4"/>
  <c r="L38" i="4"/>
  <c r="L37" i="4"/>
  <c r="L36" i="4"/>
  <c r="L35" i="4"/>
  <c r="L34" i="4"/>
  <c r="L32" i="4"/>
  <c r="L31" i="4"/>
  <c r="L30" i="4"/>
  <c r="L29" i="4"/>
  <c r="L28" i="4"/>
  <c r="L27" i="4"/>
  <c r="L26" i="4"/>
  <c r="L25" i="4"/>
  <c r="L24" i="4"/>
  <c r="L22" i="4"/>
  <c r="L21" i="4"/>
  <c r="L20" i="4"/>
  <c r="L19" i="4"/>
  <c r="L18" i="4"/>
  <c r="L17" i="4"/>
  <c r="L16" i="4"/>
  <c r="L15" i="4"/>
  <c r="L14" i="4"/>
  <c r="L12" i="4"/>
  <c r="L11" i="4"/>
  <c r="L10" i="4"/>
  <c r="L9" i="4"/>
  <c r="L8" i="4"/>
  <c r="L7" i="4"/>
  <c r="L6" i="4"/>
  <c r="L5" i="4"/>
  <c r="L4" i="4"/>
  <c r="K62" i="4"/>
  <c r="K61" i="4"/>
  <c r="K60" i="4"/>
  <c r="K59" i="4"/>
  <c r="K58" i="4"/>
  <c r="K57" i="4"/>
  <c r="K56" i="4"/>
  <c r="K55" i="4"/>
  <c r="K54" i="4"/>
  <c r="K52" i="4"/>
  <c r="K51" i="4"/>
  <c r="K50" i="4"/>
  <c r="K49" i="4"/>
  <c r="K48" i="4"/>
  <c r="K47" i="4"/>
  <c r="K46" i="4"/>
  <c r="K45" i="4"/>
  <c r="K44" i="4"/>
  <c r="K42" i="4"/>
  <c r="K41" i="4"/>
  <c r="K40" i="4"/>
  <c r="K39" i="4"/>
  <c r="K38" i="4"/>
  <c r="K37" i="4"/>
  <c r="K36" i="4"/>
  <c r="K35" i="4"/>
  <c r="K34" i="4"/>
  <c r="K32" i="4"/>
  <c r="K31" i="4"/>
  <c r="K30" i="4"/>
  <c r="K29" i="4"/>
  <c r="K28" i="4"/>
  <c r="K27" i="4"/>
  <c r="K26" i="4"/>
  <c r="K25" i="4"/>
  <c r="K24" i="4"/>
  <c r="K22" i="4"/>
  <c r="K21" i="4"/>
  <c r="K20" i="4"/>
  <c r="K19" i="4"/>
  <c r="K18" i="4"/>
  <c r="K17" i="4"/>
  <c r="K16" i="4"/>
  <c r="K15" i="4"/>
  <c r="K14" i="4"/>
  <c r="K6" i="4"/>
  <c r="K5" i="4"/>
  <c r="K12" i="4"/>
  <c r="K11" i="4"/>
  <c r="K10" i="4"/>
  <c r="K9" i="4"/>
  <c r="K8" i="4"/>
  <c r="K7" i="4"/>
  <c r="K4" i="4"/>
  <c r="J62" i="4"/>
  <c r="J61" i="4"/>
  <c r="J60" i="4"/>
  <c r="J59" i="4"/>
  <c r="J58" i="4"/>
  <c r="J57" i="4"/>
  <c r="J56" i="4"/>
  <c r="J55" i="4"/>
  <c r="J54" i="4"/>
  <c r="J52" i="4"/>
  <c r="J51" i="4"/>
  <c r="J50" i="4"/>
  <c r="J49" i="4"/>
  <c r="J48" i="4"/>
  <c r="J47" i="4"/>
  <c r="J46" i="4"/>
  <c r="J45" i="4"/>
  <c r="J44" i="4"/>
  <c r="J42" i="4"/>
  <c r="J41" i="4"/>
  <c r="J40" i="4"/>
  <c r="J39" i="4"/>
  <c r="J38" i="4"/>
  <c r="J37" i="4"/>
  <c r="J36" i="4"/>
  <c r="J35" i="4"/>
  <c r="J34" i="4"/>
  <c r="J32" i="4"/>
  <c r="J31" i="4"/>
  <c r="J30" i="4"/>
  <c r="J29" i="4"/>
  <c r="J28" i="4"/>
  <c r="J27" i="4"/>
  <c r="J26" i="4"/>
  <c r="J25" i="4"/>
  <c r="J24" i="4"/>
  <c r="J22" i="4"/>
  <c r="J21" i="4"/>
  <c r="J20" i="4"/>
  <c r="J19" i="4"/>
  <c r="J18" i="4"/>
  <c r="J17" i="4"/>
  <c r="J16" i="4"/>
  <c r="J15" i="4"/>
  <c r="J14" i="4"/>
  <c r="J12" i="4"/>
  <c r="J11" i="4"/>
  <c r="J10" i="4"/>
  <c r="J9" i="4"/>
  <c r="J8" i="4"/>
  <c r="J7" i="4"/>
  <c r="J6" i="4"/>
  <c r="J5" i="4"/>
  <c r="J4" i="4"/>
  <c r="I62" i="4"/>
  <c r="I61" i="4"/>
  <c r="I60" i="4"/>
  <c r="I59" i="4"/>
  <c r="I58" i="4"/>
  <c r="I57" i="4"/>
  <c r="I56" i="4"/>
  <c r="I55" i="4"/>
  <c r="I54" i="4"/>
  <c r="I52" i="4"/>
  <c r="I51" i="4"/>
  <c r="I50" i="4"/>
  <c r="I49" i="4"/>
  <c r="I48" i="4"/>
  <c r="I47" i="4"/>
  <c r="I46" i="4"/>
  <c r="I45" i="4"/>
  <c r="I44" i="4"/>
  <c r="I42" i="4"/>
  <c r="I41" i="4"/>
  <c r="I40" i="4"/>
  <c r="I39" i="4"/>
  <c r="I38" i="4"/>
  <c r="I37" i="4"/>
  <c r="I36" i="4"/>
  <c r="I35" i="4"/>
  <c r="I34" i="4"/>
  <c r="I32" i="4"/>
  <c r="I31" i="4"/>
  <c r="I30" i="4"/>
  <c r="I29" i="4"/>
  <c r="I28" i="4"/>
  <c r="I27" i="4"/>
  <c r="I26" i="4"/>
  <c r="I25" i="4"/>
  <c r="I24" i="4"/>
  <c r="I22" i="4"/>
  <c r="I21" i="4"/>
  <c r="I20" i="4"/>
  <c r="I19" i="4"/>
  <c r="I18" i="4"/>
  <c r="I17" i="4"/>
  <c r="I16" i="4"/>
  <c r="I15" i="4"/>
  <c r="I14" i="4"/>
  <c r="I12" i="4"/>
  <c r="I11" i="4"/>
  <c r="I10" i="4"/>
  <c r="I9" i="4"/>
  <c r="I8" i="4"/>
  <c r="I7" i="4"/>
  <c r="I6" i="4"/>
  <c r="I5" i="4"/>
  <c r="I4" i="4"/>
  <c r="H61" i="4"/>
  <c r="H58" i="4"/>
  <c r="H55" i="4"/>
  <c r="H51" i="4"/>
  <c r="H48" i="4"/>
  <c r="H45" i="4"/>
  <c r="H41" i="4"/>
  <c r="H38" i="4"/>
  <c r="H35" i="4"/>
  <c r="H32" i="4"/>
  <c r="H29" i="4"/>
  <c r="H26" i="4"/>
  <c r="H22" i="4"/>
  <c r="H19" i="4"/>
  <c r="H16" i="4"/>
  <c r="H12" i="4"/>
  <c r="H9" i="4"/>
  <c r="H6" i="4"/>
  <c r="F62" i="4"/>
  <c r="F61" i="4"/>
  <c r="F60" i="4"/>
  <c r="F59" i="4"/>
  <c r="F58" i="4"/>
  <c r="F57" i="4"/>
  <c r="F56" i="4"/>
  <c r="F55" i="4"/>
  <c r="F54" i="4"/>
  <c r="F52" i="4"/>
  <c r="F51" i="4"/>
  <c r="F50" i="4"/>
  <c r="F49" i="4"/>
  <c r="F48" i="4"/>
  <c r="F47" i="4"/>
  <c r="F46" i="4"/>
  <c r="F45" i="4"/>
  <c r="F44" i="4"/>
  <c r="F42" i="4"/>
  <c r="F41" i="4"/>
  <c r="F40" i="4"/>
  <c r="F39" i="4"/>
  <c r="F38" i="4"/>
  <c r="F37" i="4"/>
  <c r="F36" i="4"/>
  <c r="F35" i="4"/>
  <c r="F34" i="4"/>
  <c r="F32" i="4"/>
  <c r="F31" i="4"/>
  <c r="F30" i="4"/>
  <c r="F29" i="4"/>
  <c r="F28" i="4"/>
  <c r="F27" i="4"/>
  <c r="F26" i="4"/>
  <c r="F25" i="4"/>
  <c r="F24" i="4"/>
  <c r="F22" i="4"/>
  <c r="F21" i="4"/>
  <c r="F20" i="4"/>
  <c r="F19" i="4"/>
  <c r="F18" i="4"/>
  <c r="F17" i="4"/>
  <c r="F16" i="4"/>
  <c r="F15" i="4"/>
  <c r="F14" i="4"/>
  <c r="F12" i="4"/>
  <c r="F11" i="4"/>
  <c r="F10" i="4"/>
  <c r="F9" i="4"/>
  <c r="F8" i="4"/>
  <c r="F7" i="4"/>
  <c r="F6" i="4"/>
  <c r="F5" i="4"/>
  <c r="F4" i="4"/>
  <c r="E62" i="4"/>
  <c r="E61" i="4"/>
  <c r="E60" i="4"/>
  <c r="E59" i="4"/>
  <c r="E58" i="4"/>
  <c r="E57" i="4"/>
  <c r="E56" i="4"/>
  <c r="E55" i="4"/>
  <c r="E54" i="4"/>
  <c r="E52" i="4"/>
  <c r="E51" i="4"/>
  <c r="E50" i="4"/>
  <c r="E49" i="4"/>
  <c r="E48" i="4"/>
  <c r="E47" i="4"/>
  <c r="E46" i="4"/>
  <c r="E45" i="4"/>
  <c r="E44" i="4"/>
  <c r="E42" i="4"/>
  <c r="E41" i="4"/>
  <c r="E40" i="4"/>
  <c r="E39" i="4"/>
  <c r="E38" i="4"/>
  <c r="E37" i="4"/>
  <c r="E36" i="4"/>
  <c r="E35" i="4"/>
  <c r="E34" i="4"/>
  <c r="E32" i="4"/>
  <c r="E31" i="4"/>
  <c r="E30" i="4"/>
  <c r="E29" i="4"/>
  <c r="E28" i="4"/>
  <c r="E27" i="4"/>
  <c r="E26" i="4"/>
  <c r="E25" i="4"/>
  <c r="E24" i="4"/>
  <c r="E22" i="4"/>
  <c r="E21" i="4"/>
  <c r="E20" i="4"/>
  <c r="E19" i="4"/>
  <c r="E18" i="4"/>
  <c r="E17" i="4"/>
  <c r="E16" i="4"/>
  <c r="E15" i="4"/>
  <c r="E14" i="4"/>
  <c r="E12" i="4"/>
  <c r="E11" i="4"/>
  <c r="E10" i="4"/>
  <c r="E9" i="4"/>
  <c r="E8" i="4"/>
  <c r="E7" i="4"/>
  <c r="E6" i="4"/>
  <c r="E5" i="4"/>
  <c r="E4" i="4"/>
  <c r="D62" i="4"/>
  <c r="D61" i="4"/>
  <c r="D60" i="4"/>
  <c r="D59" i="4"/>
  <c r="D58" i="4"/>
  <c r="D57" i="4"/>
  <c r="D56" i="4"/>
  <c r="D55" i="4"/>
  <c r="D54" i="4"/>
  <c r="D52" i="4"/>
  <c r="D51" i="4"/>
  <c r="D50" i="4"/>
  <c r="D49" i="4"/>
  <c r="D48" i="4"/>
  <c r="D47" i="4"/>
  <c r="D46" i="4"/>
  <c r="D45" i="4"/>
  <c r="D44" i="4"/>
  <c r="D42" i="4"/>
  <c r="D41" i="4"/>
  <c r="D40" i="4"/>
  <c r="D39" i="4"/>
  <c r="D38" i="4"/>
  <c r="D37" i="4"/>
  <c r="D36" i="4"/>
  <c r="D35" i="4"/>
  <c r="D34" i="4"/>
  <c r="D32" i="4"/>
  <c r="D31" i="4"/>
  <c r="D30" i="4"/>
  <c r="D29" i="4"/>
  <c r="D28" i="4"/>
  <c r="D27" i="4"/>
  <c r="D26" i="4"/>
  <c r="D25" i="4"/>
  <c r="D24" i="4"/>
  <c r="D22" i="4"/>
  <c r="D21" i="4"/>
  <c r="D20" i="4"/>
  <c r="D19" i="4"/>
  <c r="D18" i="4"/>
  <c r="D17" i="4"/>
  <c r="D16" i="4"/>
  <c r="D15" i="4"/>
  <c r="D14" i="4"/>
  <c r="D12" i="4"/>
  <c r="D11" i="4"/>
  <c r="D10" i="4"/>
  <c r="D9" i="4"/>
  <c r="D8" i="4"/>
  <c r="D7" i="4"/>
  <c r="D6" i="4"/>
  <c r="D5" i="4"/>
  <c r="D4" i="4"/>
  <c r="M23" i="5"/>
  <c r="M22" i="5"/>
  <c r="M21" i="5"/>
  <c r="M20" i="5"/>
  <c r="M19" i="5"/>
  <c r="M18" i="5"/>
  <c r="M16" i="5"/>
  <c r="M15" i="5"/>
  <c r="M14" i="5"/>
  <c r="M13" i="5"/>
  <c r="M12" i="5"/>
  <c r="M11" i="5"/>
  <c r="M6" i="5"/>
  <c r="M9" i="5"/>
  <c r="M8" i="5"/>
  <c r="M7" i="5"/>
  <c r="M5" i="5"/>
  <c r="M4" i="5"/>
  <c r="GL44" i="2"/>
  <c r="GL43" i="2"/>
  <c r="GL40" i="2"/>
  <c r="GL39" i="2"/>
  <c r="GL36" i="2"/>
  <c r="GL35" i="2"/>
  <c r="L23" i="5"/>
  <c r="L22" i="5"/>
  <c r="L21" i="5"/>
  <c r="L20" i="5"/>
  <c r="L19" i="5"/>
  <c r="L18" i="5"/>
  <c r="L16" i="5"/>
  <c r="L15" i="5"/>
  <c r="L14" i="5"/>
  <c r="L13" i="5"/>
  <c r="L12" i="5"/>
  <c r="L11" i="5"/>
  <c r="L9" i="5"/>
  <c r="L8" i="5"/>
  <c r="L7" i="5"/>
  <c r="L6" i="5"/>
  <c r="L5" i="5"/>
  <c r="L4" i="5"/>
  <c r="K23" i="5"/>
  <c r="K22" i="5"/>
  <c r="K21" i="5"/>
  <c r="K20" i="5"/>
  <c r="K19" i="5"/>
  <c r="K18" i="5"/>
  <c r="K16" i="5"/>
  <c r="K15" i="5"/>
  <c r="K14" i="5"/>
  <c r="K13" i="5"/>
  <c r="K12" i="5"/>
  <c r="K11" i="5"/>
  <c r="K9" i="5"/>
  <c r="K8" i="5"/>
  <c r="K7" i="5"/>
  <c r="K6" i="5"/>
  <c r="K5" i="5"/>
  <c r="K4" i="5"/>
  <c r="FE44" i="2"/>
  <c r="FE43" i="2"/>
  <c r="FE40" i="2"/>
  <c r="FE39" i="2"/>
  <c r="FE36" i="2"/>
  <c r="FE35" i="2"/>
  <c r="J23" i="5"/>
  <c r="J22" i="5"/>
  <c r="J21" i="5"/>
  <c r="J20" i="5"/>
  <c r="J19" i="5"/>
  <c r="J18" i="5"/>
  <c r="J16" i="5"/>
  <c r="J15" i="5"/>
  <c r="J14" i="5"/>
  <c r="J13" i="5"/>
  <c r="J12" i="5"/>
  <c r="J11" i="5"/>
  <c r="J9" i="5"/>
  <c r="J8" i="5"/>
  <c r="J7" i="5"/>
  <c r="J6" i="5"/>
  <c r="J5" i="5"/>
  <c r="J4" i="5"/>
  <c r="I23" i="5"/>
  <c r="I22" i="5"/>
  <c r="I21" i="5"/>
  <c r="I20" i="5"/>
  <c r="I19" i="5"/>
  <c r="I18" i="5"/>
  <c r="I16" i="5"/>
  <c r="I15" i="5"/>
  <c r="I14" i="5"/>
  <c r="I13" i="5"/>
  <c r="I12" i="5"/>
  <c r="I11" i="5"/>
  <c r="I9" i="5"/>
  <c r="I8" i="5"/>
  <c r="I7" i="5"/>
  <c r="I6" i="5"/>
  <c r="I5" i="5"/>
  <c r="I4" i="5"/>
  <c r="H23" i="5"/>
  <c r="H22" i="5"/>
  <c r="H21" i="5"/>
  <c r="H20" i="5"/>
  <c r="H19" i="5"/>
  <c r="H18" i="5"/>
  <c r="H16" i="5"/>
  <c r="H15" i="5"/>
  <c r="H14" i="5"/>
  <c r="H13" i="5"/>
  <c r="H12" i="5"/>
  <c r="H11" i="5"/>
  <c r="H9" i="5"/>
  <c r="H8" i="5"/>
  <c r="H7" i="5"/>
  <c r="H6" i="5"/>
  <c r="H5" i="5"/>
  <c r="H4" i="5"/>
  <c r="F23" i="5"/>
  <c r="F22" i="5"/>
  <c r="F21" i="5"/>
  <c r="F20" i="5"/>
  <c r="F19" i="5"/>
  <c r="F18" i="5"/>
  <c r="F16" i="5"/>
  <c r="F15" i="5"/>
  <c r="F14" i="5"/>
  <c r="F13" i="5"/>
  <c r="F12" i="5"/>
  <c r="F11" i="5"/>
  <c r="F9" i="5"/>
  <c r="F8" i="5"/>
  <c r="F7" i="5"/>
  <c r="F6" i="5"/>
  <c r="F5" i="5"/>
  <c r="F4" i="5"/>
  <c r="E23" i="5"/>
  <c r="E22" i="5"/>
  <c r="E21" i="5"/>
  <c r="E20" i="5"/>
  <c r="E19" i="5"/>
  <c r="E18" i="5"/>
  <c r="E16" i="5"/>
  <c r="E15" i="5"/>
  <c r="E14" i="5"/>
  <c r="E13" i="5"/>
  <c r="E12" i="5"/>
  <c r="E11" i="5"/>
  <c r="E9" i="5"/>
  <c r="E8" i="5"/>
  <c r="E7" i="5"/>
  <c r="E6" i="5"/>
  <c r="E5" i="5"/>
  <c r="E4" i="5"/>
  <c r="D23" i="5"/>
  <c r="D22" i="5"/>
  <c r="D21" i="5"/>
  <c r="D20" i="5"/>
  <c r="D19" i="5"/>
  <c r="D18" i="5"/>
  <c r="D16" i="5"/>
  <c r="D15" i="5"/>
  <c r="D14" i="5"/>
  <c r="D13" i="5"/>
  <c r="D12" i="5"/>
  <c r="D11" i="5"/>
  <c r="D9" i="5"/>
  <c r="D8" i="5"/>
  <c r="D7" i="5"/>
  <c r="D6" i="5"/>
  <c r="D5" i="5"/>
  <c r="D4" i="5"/>
  <c r="O61" i="4"/>
  <c r="O58" i="4"/>
  <c r="O55" i="4"/>
  <c r="O51" i="4"/>
  <c r="O48" i="4"/>
  <c r="O45" i="4"/>
  <c r="O41" i="4"/>
  <c r="O38" i="4"/>
  <c r="O35" i="4"/>
  <c r="O32" i="4"/>
  <c r="O29" i="4"/>
  <c r="O26" i="4"/>
  <c r="O22" i="4"/>
  <c r="O19" i="4"/>
  <c r="O16" i="4"/>
  <c r="O12" i="4"/>
  <c r="O9" i="4"/>
  <c r="O6" i="4"/>
  <c r="N61" i="4"/>
  <c r="N58" i="4"/>
  <c r="N55" i="4"/>
  <c r="N51" i="4"/>
  <c r="N48" i="4"/>
  <c r="N45" i="4"/>
  <c r="N41" i="4"/>
  <c r="N38" i="4"/>
  <c r="N35" i="4"/>
  <c r="N32" i="4"/>
  <c r="N29" i="4"/>
  <c r="N26" i="4"/>
  <c r="N22" i="4"/>
  <c r="N19" i="4"/>
  <c r="N16" i="4"/>
  <c r="N12" i="4"/>
  <c r="N9" i="4"/>
  <c r="N6" i="4"/>
  <c r="G62" i="4"/>
  <c r="G61" i="4"/>
  <c r="G60" i="4"/>
  <c r="G59" i="4"/>
  <c r="G58" i="4"/>
  <c r="G57" i="4"/>
  <c r="G56" i="4"/>
  <c r="G55" i="4"/>
  <c r="G54" i="4"/>
  <c r="G52" i="4"/>
  <c r="G51" i="4"/>
  <c r="G50" i="4"/>
  <c r="G49" i="4"/>
  <c r="G48" i="4"/>
  <c r="G47" i="4"/>
  <c r="G46" i="4"/>
  <c r="G45" i="4"/>
  <c r="G44" i="4"/>
  <c r="G42" i="4"/>
  <c r="G41" i="4"/>
  <c r="G40" i="4"/>
  <c r="G39" i="4"/>
  <c r="G38" i="4"/>
  <c r="G37" i="4"/>
  <c r="G36" i="4"/>
  <c r="G35" i="4"/>
  <c r="G34" i="4"/>
  <c r="G32" i="4"/>
  <c r="G31" i="4"/>
  <c r="G30" i="4"/>
  <c r="G29" i="4"/>
  <c r="G28" i="4"/>
  <c r="G27" i="4"/>
  <c r="G26" i="4"/>
  <c r="G25" i="4"/>
  <c r="G24" i="4"/>
  <c r="G22" i="4"/>
  <c r="G21" i="4"/>
  <c r="G20" i="4"/>
  <c r="G19" i="4"/>
  <c r="G18" i="4"/>
  <c r="G17" i="4"/>
  <c r="G16" i="4"/>
  <c r="G15" i="4"/>
  <c r="G14" i="4"/>
  <c r="G12" i="4"/>
  <c r="G11" i="4"/>
  <c r="G10" i="4"/>
  <c r="G9" i="4"/>
  <c r="G8" i="4"/>
  <c r="G7" i="4"/>
  <c r="O23" i="5"/>
  <c r="O22" i="5"/>
  <c r="O21" i="5"/>
  <c r="O20" i="5"/>
  <c r="O19" i="5"/>
  <c r="O18" i="5"/>
  <c r="O16" i="5"/>
  <c r="O15" i="5"/>
  <c r="O14" i="5"/>
  <c r="O13" i="5"/>
  <c r="O12" i="5"/>
  <c r="O11" i="5"/>
  <c r="O9" i="5"/>
  <c r="O8" i="5"/>
  <c r="O7" i="5"/>
  <c r="O6" i="5" l="1"/>
  <c r="O5" i="5"/>
  <c r="O4" i="5"/>
  <c r="N23" i="5"/>
  <c r="N22" i="5"/>
  <c r="N21" i="5"/>
  <c r="N20" i="5"/>
  <c r="N19" i="5"/>
  <c r="N18" i="5"/>
  <c r="N16" i="5"/>
  <c r="N15" i="5"/>
  <c r="N14" i="5"/>
  <c r="N13" i="5"/>
  <c r="N12" i="5"/>
  <c r="N11" i="5"/>
  <c r="N9" i="5"/>
  <c r="N8" i="5"/>
  <c r="N7" i="5"/>
  <c r="N6" i="5"/>
  <c r="N5" i="5"/>
  <c r="N4" i="5"/>
  <c r="G23" i="5"/>
  <c r="G22" i="5"/>
  <c r="G21" i="5"/>
  <c r="G20" i="5"/>
  <c r="G19" i="5"/>
  <c r="G18" i="5"/>
  <c r="G16" i="5"/>
  <c r="G15" i="5"/>
  <c r="G14" i="5"/>
  <c r="G13" i="5"/>
  <c r="G12" i="5"/>
  <c r="G11" i="5"/>
  <c r="G9" i="5"/>
  <c r="G8" i="5"/>
  <c r="G7" i="5"/>
  <c r="G6" i="5"/>
  <c r="G5" i="5"/>
  <c r="G4" i="5"/>
  <c r="G6" i="4"/>
  <c r="G5" i="4"/>
  <c r="G4" i="4"/>
  <c r="DI34" i="1"/>
  <c r="DI35" i="1"/>
  <c r="GE12" i="1"/>
  <c r="DI36" i="1"/>
  <c r="GE13" i="1"/>
  <c r="DI37" i="1"/>
  <c r="GE14" i="1"/>
  <c r="DI158" i="1"/>
  <c r="DI157" i="1"/>
  <c r="DI142" i="1"/>
  <c r="DI141" i="1"/>
  <c r="GE11" i="1"/>
  <c r="DI127" i="1" s="1"/>
  <c r="DI15" i="1"/>
  <c r="DI125" i="1"/>
  <c r="H36" i="4" s="1"/>
  <c r="Q33" i="1"/>
  <c r="Q115" i="1"/>
  <c r="Q66" i="1"/>
  <c r="Q67" i="1"/>
  <c r="Q75" i="1"/>
  <c r="Q76" i="1"/>
  <c r="Q120" i="1"/>
  <c r="Q125" i="1"/>
  <c r="FK28" i="2"/>
  <c r="FK30" i="2"/>
  <c r="FQ30" i="2"/>
  <c r="DL30" i="2"/>
  <c r="CN30" i="2"/>
  <c r="CK30" i="2"/>
  <c r="BS30" i="2"/>
  <c r="FQ28" i="2"/>
  <c r="FN28" i="2"/>
  <c r="DL28" i="2"/>
  <c r="CN28" i="2"/>
  <c r="CK28" i="2"/>
  <c r="CH28" i="2"/>
  <c r="FN26" i="2"/>
  <c r="CL24" i="2"/>
  <c r="CK24" i="2"/>
  <c r="H24" i="2"/>
  <c r="O24" i="2"/>
  <c r="N24" i="2"/>
  <c r="L24" i="2"/>
  <c r="K24" i="2"/>
  <c r="I24" i="2"/>
  <c r="GI22" i="2"/>
  <c r="GI21" i="2"/>
  <c r="GI20" i="2"/>
  <c r="GI19" i="2"/>
  <c r="GF22" i="2"/>
  <c r="GF21" i="2"/>
  <c r="GF20" i="2"/>
  <c r="GF19" i="2"/>
  <c r="GC22" i="2"/>
  <c r="GC21" i="2"/>
  <c r="GC20" i="2"/>
  <c r="GC19" i="2"/>
  <c r="FZ22" i="2"/>
  <c r="FZ21" i="2"/>
  <c r="FZ20" i="2"/>
  <c r="FZ19" i="2"/>
  <c r="EV20" i="2"/>
  <c r="EV19" i="2"/>
  <c r="FB17" i="2"/>
  <c r="EM17" i="2"/>
  <c r="ED17" i="2"/>
  <c r="DU17" i="2"/>
  <c r="DO17" i="2"/>
  <c r="CH17" i="2"/>
  <c r="N17" i="2"/>
  <c r="K17" i="2"/>
  <c r="H17" i="2"/>
  <c r="FW15" i="2"/>
  <c r="FW14" i="2"/>
  <c r="FK15" i="2"/>
  <c r="FQ15" i="2"/>
  <c r="FQ14" i="2"/>
  <c r="FN15" i="2"/>
  <c r="FN14" i="2"/>
  <c r="EV15" i="2"/>
  <c r="EV14" i="2"/>
  <c r="CH12" i="2"/>
  <c r="CH11" i="2"/>
  <c r="CE12" i="2"/>
  <c r="CE11" i="2"/>
  <c r="BG12" i="2"/>
  <c r="BG11" i="2"/>
  <c r="BD12" i="2"/>
  <c r="BD11" i="2"/>
  <c r="AU12" i="2"/>
  <c r="AU11" i="2"/>
  <c r="AO12" i="2"/>
  <c r="AO11" i="2"/>
  <c r="AL12" i="2"/>
  <c r="AL11" i="2"/>
  <c r="W12" i="2"/>
  <c r="W11" i="2"/>
  <c r="T12" i="2"/>
  <c r="T11" i="2"/>
  <c r="CK9" i="2"/>
  <c r="K9" i="2"/>
  <c r="H9" i="2"/>
  <c r="FN7" i="2"/>
  <c r="FN6" i="2"/>
  <c r="FL7" i="2"/>
  <c r="FL6" i="2"/>
  <c r="FK7" i="2"/>
  <c r="FK6" i="2"/>
  <c r="EB7" i="2"/>
  <c r="EB6" i="2"/>
  <c r="EA7" i="2"/>
  <c r="EA6" i="2"/>
  <c r="CR7" i="2"/>
  <c r="CR6" i="2"/>
  <c r="CQ7" i="2"/>
  <c r="CQ6" i="2"/>
  <c r="CO6" i="2"/>
  <c r="CN7" i="2"/>
  <c r="CN6" i="2"/>
  <c r="CL7" i="2"/>
  <c r="CK7" i="2"/>
  <c r="CH7" i="2"/>
  <c r="CH6" i="2"/>
  <c r="Q7" i="2"/>
  <c r="O7" i="2"/>
  <c r="N7" i="2"/>
  <c r="L7" i="2"/>
  <c r="L6" i="2"/>
  <c r="K7" i="2"/>
  <c r="K6" i="2"/>
  <c r="I7" i="2"/>
  <c r="H7" i="2"/>
  <c r="FQ75" i="1"/>
  <c r="FN75" i="1"/>
  <c r="FQ76" i="1"/>
  <c r="FN76" i="1"/>
  <c r="FN74" i="1"/>
  <c r="FN73" i="1"/>
  <c r="EV76" i="1"/>
  <c r="FN69" i="1"/>
  <c r="FN70" i="1"/>
  <c r="EV75" i="1"/>
  <c r="EM76" i="1"/>
  <c r="EM74" i="1"/>
  <c r="EM73" i="1"/>
  <c r="DU74" i="1"/>
  <c r="DU73" i="1"/>
  <c r="DI76" i="1"/>
  <c r="DI74" i="1"/>
  <c r="DI73" i="1"/>
  <c r="Q74" i="1"/>
  <c r="Q73" i="1"/>
  <c r="FN72" i="1"/>
  <c r="FN71" i="1"/>
  <c r="FH75" i="1"/>
  <c r="EP75" i="1"/>
  <c r="EP72" i="1"/>
  <c r="EP71" i="1"/>
  <c r="EP70" i="1"/>
  <c r="EP69" i="1"/>
  <c r="EM75" i="1"/>
  <c r="EM72" i="1"/>
  <c r="EM71" i="1"/>
  <c r="EM70" i="1"/>
  <c r="DU75" i="1"/>
  <c r="DU72" i="1"/>
  <c r="DU71" i="1"/>
  <c r="DU70" i="1"/>
  <c r="DI75" i="1"/>
  <c r="DI72" i="1"/>
  <c r="DI71" i="1"/>
  <c r="DI70" i="1"/>
  <c r="Q72" i="1"/>
  <c r="Q71" i="1"/>
  <c r="Q70" i="1"/>
  <c r="Q69" i="1"/>
  <c r="Q65" i="1"/>
  <c r="Q64" i="1"/>
  <c r="Q63" i="1"/>
  <c r="Q62" i="1"/>
  <c r="DJ60" i="1"/>
  <c r="DJ59" i="1"/>
  <c r="DI60" i="1"/>
  <c r="DI59" i="1"/>
  <c r="EM57" i="1"/>
  <c r="EJ57" i="1"/>
  <c r="EG57" i="1"/>
  <c r="ED57" i="1"/>
  <c r="EA57" i="1"/>
  <c r="DX57" i="1"/>
  <c r="DI57" i="1"/>
  <c r="CH57" i="1"/>
  <c r="BP57" i="1"/>
  <c r="AU57" i="1"/>
  <c r="AL57" i="1"/>
  <c r="Z57" i="1"/>
  <c r="W57" i="1"/>
  <c r="T57" i="1"/>
  <c r="Q57" i="1"/>
  <c r="N57" i="1"/>
  <c r="H57" i="1"/>
  <c r="EM55" i="1"/>
  <c r="EM54" i="1"/>
  <c r="DI55" i="1"/>
  <c r="DI54" i="1"/>
  <c r="CN55" i="1"/>
  <c r="CN54" i="1"/>
  <c r="CH55" i="1"/>
  <c r="CH54" i="1"/>
  <c r="Q55" i="1"/>
  <c r="Q54" i="1"/>
  <c r="EN52" i="1"/>
  <c r="EN51" i="1"/>
  <c r="EN50" i="1"/>
  <c r="EM52" i="1"/>
  <c r="EM51" i="1"/>
  <c r="EM50" i="1"/>
  <c r="DJ52" i="1"/>
  <c r="DJ51" i="1"/>
  <c r="DJ50" i="1"/>
  <c r="DI52" i="1"/>
  <c r="DI51" i="1"/>
  <c r="DI50" i="1"/>
  <c r="FF48" i="1"/>
  <c r="FF47" i="1"/>
  <c r="FE48" i="1"/>
  <c r="FE47" i="1"/>
  <c r="FC48" i="1"/>
  <c r="FC47" i="1"/>
  <c r="FB48" i="1"/>
  <c r="FB47" i="1"/>
  <c r="EN48" i="1"/>
  <c r="EN47" i="1"/>
  <c r="EM48" i="1"/>
  <c r="EM47" i="1"/>
  <c r="CO48" i="1"/>
  <c r="CO47" i="1"/>
  <c r="CN48" i="1"/>
  <c r="CN47" i="1"/>
  <c r="CF48" i="1"/>
  <c r="CF47" i="1"/>
  <c r="CE48" i="1"/>
  <c r="CE47" i="1"/>
  <c r="BE48" i="1"/>
  <c r="BE47" i="1"/>
  <c r="BD48" i="1"/>
  <c r="BD47" i="1"/>
  <c r="AG48" i="1"/>
  <c r="AG47" i="1"/>
  <c r="AF48" i="1"/>
  <c r="AF47" i="1"/>
  <c r="U48" i="1"/>
  <c r="U47" i="1"/>
  <c r="T48" i="1"/>
  <c r="T47" i="1"/>
  <c r="L48" i="1"/>
  <c r="L47" i="1"/>
  <c r="K48" i="1"/>
  <c r="K47" i="1"/>
  <c r="I48" i="1"/>
  <c r="H48" i="1"/>
  <c r="I47" i="1"/>
  <c r="H47" i="1"/>
  <c r="EN45" i="1"/>
  <c r="EN44" i="1"/>
  <c r="EM45" i="1"/>
  <c r="EM44" i="1"/>
  <c r="DJ45" i="1"/>
  <c r="DJ44" i="1"/>
  <c r="DI45" i="1"/>
  <c r="DI44" i="1"/>
  <c r="CI45" i="1"/>
  <c r="CI44" i="1"/>
  <c r="CH45" i="1"/>
  <c r="CH44" i="1"/>
  <c r="R45" i="1"/>
  <c r="Q45" i="1"/>
  <c r="R44" i="1"/>
  <c r="Q44" i="1"/>
  <c r="EN42" i="1"/>
  <c r="EN41" i="1"/>
  <c r="EM42" i="1"/>
  <c r="EM41" i="1"/>
  <c r="DJ42" i="1"/>
  <c r="DJ41" i="1"/>
  <c r="DI42" i="1"/>
  <c r="DI41" i="1"/>
  <c r="CI42" i="1"/>
  <c r="CI41" i="1"/>
  <c r="CH42" i="1"/>
  <c r="CH41" i="1"/>
  <c r="R42" i="1"/>
  <c r="R41" i="1"/>
  <c r="Q42" i="1"/>
  <c r="Q41" i="1"/>
  <c r="FF39" i="1"/>
  <c r="FE39" i="1"/>
  <c r="FC39" i="1"/>
  <c r="FB39" i="1"/>
  <c r="FB32" i="1"/>
  <c r="EN39" i="1"/>
  <c r="EM39" i="1"/>
  <c r="EB39" i="1"/>
  <c r="EA39" i="1"/>
  <c r="DY39" i="1"/>
  <c r="DX39" i="1"/>
  <c r="DD39" i="1"/>
  <c r="DC39" i="1"/>
  <c r="CL39" i="1"/>
  <c r="CK39" i="1"/>
  <c r="CI39" i="1"/>
  <c r="CH39" i="1"/>
  <c r="CC39" i="1"/>
  <c r="CB39" i="1"/>
  <c r="BZ39" i="1"/>
  <c r="BY39" i="1"/>
  <c r="BW39" i="1"/>
  <c r="BV39" i="1"/>
  <c r="BT39" i="1"/>
  <c r="BS39" i="1"/>
  <c r="BQ39" i="1"/>
  <c r="BP39" i="1"/>
  <c r="BK39" i="1"/>
  <c r="BJ39" i="1"/>
  <c r="BH39" i="1"/>
  <c r="BG39" i="1"/>
  <c r="BE39" i="1"/>
  <c r="BD39" i="1"/>
  <c r="BB39" i="1"/>
  <c r="BA39" i="1"/>
  <c r="AY39" i="1"/>
  <c r="AX39" i="1"/>
  <c r="AV39" i="1"/>
  <c r="AU39" i="1"/>
  <c r="AS39" i="1"/>
  <c r="AR39" i="1"/>
  <c r="AP39" i="1"/>
  <c r="AO39" i="1"/>
  <c r="AM39" i="1"/>
  <c r="AL39" i="1"/>
  <c r="AJ39" i="1"/>
  <c r="AI39" i="1"/>
  <c r="AD39" i="1"/>
  <c r="AC39" i="1"/>
  <c r="AA39" i="1"/>
  <c r="Z39" i="1"/>
  <c r="X39" i="1"/>
  <c r="W39" i="1"/>
  <c r="U39" i="1"/>
  <c r="T39" i="1"/>
  <c r="R39" i="1"/>
  <c r="Q39" i="1"/>
  <c r="O39" i="1"/>
  <c r="N39" i="1"/>
  <c r="L39" i="1"/>
  <c r="K39" i="1"/>
  <c r="I39" i="1"/>
  <c r="H39" i="1"/>
  <c r="FQ33" i="1"/>
  <c r="FN30" i="1"/>
  <c r="FN31" i="1"/>
  <c r="FN32" i="1"/>
  <c r="FN33" i="1"/>
  <c r="FB31" i="1"/>
  <c r="FB30" i="1"/>
  <c r="FH33" i="1"/>
  <c r="EV33" i="1"/>
  <c r="EP33" i="1"/>
  <c r="EP32" i="1"/>
  <c r="EP31" i="1"/>
  <c r="EP30" i="1"/>
  <c r="EM33" i="1"/>
  <c r="DU33" i="1"/>
  <c r="DU32" i="1"/>
  <c r="DU31" i="1"/>
  <c r="DI33" i="1"/>
  <c r="DI32" i="1"/>
  <c r="DI31" i="1"/>
  <c r="DI30" i="1"/>
  <c r="DF33" i="1"/>
  <c r="DC33" i="1"/>
  <c r="DC32" i="1"/>
  <c r="DC31" i="1"/>
  <c r="CZ33" i="1"/>
  <c r="CW33" i="1"/>
  <c r="CT33" i="1"/>
  <c r="CK33" i="1"/>
  <c r="CK32" i="1"/>
  <c r="CK31" i="1"/>
  <c r="CH33" i="1"/>
  <c r="CH32" i="1"/>
  <c r="CH31" i="1"/>
  <c r="CH30" i="1"/>
  <c r="Q32" i="1"/>
  <c r="Q31" i="1"/>
  <c r="FU28" i="1"/>
  <c r="FT28" i="1"/>
  <c r="EN28" i="1"/>
  <c r="EM28" i="1"/>
  <c r="EH28" i="1"/>
  <c r="EG28" i="1"/>
  <c r="EE28" i="1"/>
  <c r="ED28" i="1"/>
  <c r="EB28" i="1"/>
  <c r="EA28" i="1"/>
  <c r="DY28" i="1"/>
  <c r="DX28" i="1"/>
  <c r="DV28" i="1"/>
  <c r="DU28" i="1"/>
  <c r="DR28" i="1"/>
  <c r="DO28" i="1"/>
  <c r="DL28" i="1"/>
  <c r="CI28" i="1"/>
  <c r="CH28" i="1"/>
  <c r="CF28" i="1"/>
  <c r="CE28" i="1"/>
  <c r="BT28" i="1"/>
  <c r="BS28" i="1"/>
  <c r="BN28" i="1"/>
  <c r="BM28" i="1"/>
  <c r="BK28" i="1"/>
  <c r="BJ28" i="1"/>
  <c r="BH28" i="1"/>
  <c r="BG28" i="1"/>
  <c r="BE28" i="1"/>
  <c r="BD28" i="1"/>
  <c r="BB28" i="1"/>
  <c r="BA28" i="1"/>
  <c r="AY28" i="1"/>
  <c r="AX28" i="1"/>
  <c r="AV28" i="1"/>
  <c r="AU28" i="1"/>
  <c r="AS28" i="1"/>
  <c r="AR28" i="1"/>
  <c r="AM28" i="1"/>
  <c r="AL28" i="1"/>
  <c r="AJ28" i="1"/>
  <c r="AI28" i="1"/>
  <c r="AG28" i="1"/>
  <c r="AF28" i="1"/>
  <c r="AD28" i="1"/>
  <c r="AC28" i="1"/>
  <c r="AA28" i="1"/>
  <c r="Z28" i="1"/>
  <c r="X28" i="1"/>
  <c r="W28" i="1"/>
  <c r="U28" i="1"/>
  <c r="T28" i="1"/>
  <c r="R28" i="1"/>
  <c r="Q28" i="1"/>
  <c r="O28" i="1"/>
  <c r="N28" i="1"/>
  <c r="L28" i="1"/>
  <c r="K28" i="1"/>
  <c r="I28" i="1"/>
  <c r="H28" i="1"/>
  <c r="EN26" i="1"/>
  <c r="EM26" i="1"/>
  <c r="CK24" i="1"/>
  <c r="CE24" i="1"/>
  <c r="BS24" i="1"/>
  <c r="AL24" i="1"/>
  <c r="T24" i="1"/>
  <c r="N24" i="1"/>
  <c r="K24" i="1"/>
  <c r="H24" i="1"/>
  <c r="FH22" i="1"/>
  <c r="DI22" i="1"/>
  <c r="CH22" i="1"/>
  <c r="DI20" i="1"/>
  <c r="DI19" i="1"/>
  <c r="DI18" i="1"/>
  <c r="DI17" i="1"/>
  <c r="DI16" i="1"/>
  <c r="DI14" i="1"/>
  <c r="DI13" i="1"/>
  <c r="DI12" i="1"/>
  <c r="FH10" i="1"/>
  <c r="FH9" i="1"/>
  <c r="FH8" i="1"/>
  <c r="FH7" i="1"/>
  <c r="FE6" i="1"/>
  <c r="FB10" i="1"/>
  <c r="FB9" i="1"/>
  <c r="FB8" i="1"/>
  <c r="FB7" i="1"/>
  <c r="ES6" i="1"/>
  <c r="EP10" i="1"/>
  <c r="EP9" i="1"/>
  <c r="EP8" i="1"/>
  <c r="EP7" i="1"/>
  <c r="EP6" i="1"/>
  <c r="DU6" i="1"/>
  <c r="CZ6" i="1"/>
  <c r="Q149" i="1"/>
  <c r="CH149" i="1"/>
  <c r="CK149" i="1"/>
  <c r="CN149" i="1"/>
  <c r="FZ149" i="1"/>
  <c r="DI149" i="1"/>
  <c r="EM149" i="1"/>
  <c r="EP149" i="1"/>
  <c r="ES149" i="1"/>
  <c r="FB149" i="1"/>
  <c r="FE149" i="1"/>
  <c r="FH149" i="1"/>
  <c r="FN159" i="1"/>
  <c r="DU149" i="1"/>
  <c r="FQ149" i="1"/>
  <c r="FT149" i="1"/>
  <c r="GA149" i="1"/>
  <c r="GB149" i="1"/>
  <c r="Q154" i="1"/>
  <c r="CH154" i="1"/>
  <c r="CK154" i="1"/>
  <c r="CN154" i="1"/>
  <c r="FZ154" i="1"/>
  <c r="DI154" i="1"/>
  <c r="EM154" i="1"/>
  <c r="EP154" i="1"/>
  <c r="ES154" i="1"/>
  <c r="FB154" i="1"/>
  <c r="FH154" i="1"/>
  <c r="FN154" i="1"/>
  <c r="DU154" i="1"/>
  <c r="EV154" i="1"/>
  <c r="FQ154" i="1"/>
  <c r="FT154" i="1"/>
  <c r="GA154" i="1"/>
  <c r="GB154" i="1"/>
  <c r="Q159" i="1"/>
  <c r="CH159" i="1"/>
  <c r="CK159" i="1"/>
  <c r="CN159" i="1"/>
  <c r="FZ159" i="1"/>
  <c r="DI159" i="1"/>
  <c r="EM159" i="1"/>
  <c r="EP159" i="1"/>
  <c r="ES159" i="1"/>
  <c r="FB159" i="1"/>
  <c r="FE159" i="1"/>
  <c r="FH159" i="1"/>
  <c r="FN149" i="1"/>
  <c r="DU159" i="1"/>
  <c r="EV159" i="1"/>
  <c r="FQ159" i="1"/>
  <c r="FT159" i="1"/>
  <c r="GA159" i="1"/>
  <c r="GB159" i="1" s="1"/>
  <c r="FN147" i="1"/>
  <c r="FN152" i="1"/>
  <c r="FN157" i="1"/>
  <c r="FK149" i="1"/>
  <c r="FE154" i="1"/>
  <c r="FK154" i="1"/>
  <c r="FK159" i="1"/>
  <c r="FB153" i="1"/>
  <c r="FE153" i="1"/>
  <c r="FH153" i="1"/>
  <c r="FK158" i="1"/>
  <c r="EY149" i="1"/>
  <c r="EY154" i="1"/>
  <c r="EY159" i="1"/>
  <c r="EM147" i="1"/>
  <c r="EM152" i="1"/>
  <c r="EM157" i="1"/>
  <c r="Q147" i="1"/>
  <c r="CH147" i="1"/>
  <c r="CK147" i="1"/>
  <c r="CN147" i="1"/>
  <c r="FZ147" i="1"/>
  <c r="Q152" i="1"/>
  <c r="CH152" i="1"/>
  <c r="CK152" i="1"/>
  <c r="CN152" i="1"/>
  <c r="FZ152" i="1"/>
  <c r="Q157" i="1"/>
  <c r="CH157" i="1"/>
  <c r="CK157" i="1"/>
  <c r="CN157" i="1"/>
  <c r="FZ157" i="1"/>
  <c r="CQ149" i="1"/>
  <c r="CQ154" i="1"/>
  <c r="CQ159" i="1"/>
  <c r="CQ147" i="1"/>
  <c r="CQ152" i="1"/>
  <c r="CQ157" i="1"/>
  <c r="Q133" i="1"/>
  <c r="CH133" i="1"/>
  <c r="CK133" i="1"/>
  <c r="CN133" i="1"/>
  <c r="FZ133" i="1"/>
  <c r="DI133" i="1"/>
  <c r="EM133" i="1"/>
  <c r="EP133" i="1"/>
  <c r="ES133" i="1"/>
  <c r="FB133" i="1"/>
  <c r="FE133" i="1"/>
  <c r="FH133" i="1"/>
  <c r="FN133" i="1"/>
  <c r="FQ133" i="1"/>
  <c r="DU133" i="1"/>
  <c r="EV133" i="1"/>
  <c r="GA133" i="1"/>
  <c r="GB133" i="1"/>
  <c r="Q138" i="1"/>
  <c r="CH138" i="1"/>
  <c r="CK138" i="1"/>
  <c r="CN138" i="1"/>
  <c r="FZ138" i="1"/>
  <c r="DI138" i="1"/>
  <c r="EM138" i="1"/>
  <c r="EP138" i="1"/>
  <c r="ES138" i="1"/>
  <c r="EV138" i="1"/>
  <c r="FB138" i="1"/>
  <c r="FE138" i="1"/>
  <c r="FH138" i="1"/>
  <c r="FN138" i="1"/>
  <c r="FQ138" i="1"/>
  <c r="DU138" i="1"/>
  <c r="FT138" i="1"/>
  <c r="GA138" i="1"/>
  <c r="GB138" i="1"/>
  <c r="Q143" i="1"/>
  <c r="CH143" i="1"/>
  <c r="CK143" i="1"/>
  <c r="CN143" i="1"/>
  <c r="FZ143" i="1"/>
  <c r="DI143" i="1"/>
  <c r="EM143" i="1"/>
  <c r="EP143" i="1"/>
  <c r="ES143" i="1"/>
  <c r="EV143" i="1"/>
  <c r="FB143" i="1"/>
  <c r="FE143" i="1"/>
  <c r="FH143" i="1"/>
  <c r="FN143" i="1"/>
  <c r="FQ143" i="1"/>
  <c r="DU143" i="1"/>
  <c r="FT143" i="1"/>
  <c r="FN131" i="1"/>
  <c r="FQ131" i="1"/>
  <c r="FN136" i="1"/>
  <c r="FQ136" i="1"/>
  <c r="FT136" i="1"/>
  <c r="FN141" i="1"/>
  <c r="FQ141" i="1"/>
  <c r="FT141" i="1"/>
  <c r="FK133" i="1"/>
  <c r="FK138" i="1"/>
  <c r="FK143" i="1"/>
  <c r="EY133" i="1"/>
  <c r="EY138" i="1"/>
  <c r="EY143" i="1"/>
  <c r="Q131" i="1"/>
  <c r="CH131" i="1"/>
  <c r="CK131" i="1"/>
  <c r="CN131" i="1"/>
  <c r="FZ131" i="1"/>
  <c r="Q136" i="1"/>
  <c r="CH48" i="1"/>
  <c r="CH136" i="1"/>
  <c r="CK136" i="1"/>
  <c r="CN136" i="1"/>
  <c r="FZ136" i="1"/>
  <c r="Q141" i="1"/>
  <c r="CH141" i="1"/>
  <c r="CK141" i="1"/>
  <c r="CN141" i="1"/>
  <c r="FZ141" i="1"/>
  <c r="CQ133" i="1"/>
  <c r="CQ138" i="1"/>
  <c r="CQ143" i="1"/>
  <c r="CQ131" i="1"/>
  <c r="CQ136" i="1"/>
  <c r="CQ141" i="1"/>
  <c r="Q117" i="1"/>
  <c r="CH117" i="1"/>
  <c r="CK117" i="1"/>
  <c r="CN117" i="1"/>
  <c r="FZ117" i="1"/>
  <c r="DI117" i="1"/>
  <c r="DU117" i="1"/>
  <c r="EM117" i="1"/>
  <c r="EP117" i="1"/>
  <c r="ES117" i="1"/>
  <c r="FB117" i="1"/>
  <c r="FE117" i="1"/>
  <c r="FH117" i="1"/>
  <c r="FN117" i="1"/>
  <c r="FQ117" i="1"/>
  <c r="EV117" i="1"/>
  <c r="FT117" i="1"/>
  <c r="GA117" i="1"/>
  <c r="GB117" i="1"/>
  <c r="Q122" i="1"/>
  <c r="CH122" i="1"/>
  <c r="CK122" i="1"/>
  <c r="CN122" i="1"/>
  <c r="FZ122" i="1"/>
  <c r="DI122" i="1"/>
  <c r="H40" i="4" s="1"/>
  <c r="DU122" i="1"/>
  <c r="EM122" i="1"/>
  <c r="EP122" i="1"/>
  <c r="ES122" i="1"/>
  <c r="EV122" i="1"/>
  <c r="FB122" i="1"/>
  <c r="FE122" i="1"/>
  <c r="FH122" i="1"/>
  <c r="FN122" i="1"/>
  <c r="FQ122" i="1"/>
  <c r="FT122" i="1"/>
  <c r="GA122" i="1"/>
  <c r="Q127" i="1"/>
  <c r="CH127" i="1"/>
  <c r="CK127" i="1"/>
  <c r="CN127" i="1"/>
  <c r="FZ127" i="1"/>
  <c r="DU127" i="1"/>
  <c r="EM127" i="1"/>
  <c r="EP127" i="1"/>
  <c r="ES127" i="1"/>
  <c r="EV127" i="1"/>
  <c r="FB127" i="1"/>
  <c r="FE127" i="1"/>
  <c r="FH127" i="1"/>
  <c r="FN127" i="1"/>
  <c r="FQ127" i="1"/>
  <c r="FT127" i="1"/>
  <c r="FN115" i="1"/>
  <c r="FQ115" i="1"/>
  <c r="FT115" i="1"/>
  <c r="FN120" i="1"/>
  <c r="FQ120" i="1"/>
  <c r="FT120" i="1"/>
  <c r="FN125" i="1"/>
  <c r="FQ125" i="1"/>
  <c r="FT125" i="1"/>
  <c r="FK117" i="1"/>
  <c r="FK122" i="1"/>
  <c r="FK127" i="1"/>
  <c r="EY117" i="1"/>
  <c r="EY122" i="1"/>
  <c r="EY127" i="1"/>
  <c r="EM115" i="1"/>
  <c r="EM120" i="1"/>
  <c r="EM125" i="1"/>
  <c r="DU115" i="1"/>
  <c r="DU120" i="1"/>
  <c r="DU125" i="1"/>
  <c r="CH115" i="1"/>
  <c r="CK115" i="1"/>
  <c r="CN115" i="1"/>
  <c r="FZ115" i="1"/>
  <c r="CH120" i="1"/>
  <c r="CK120" i="1"/>
  <c r="CN120" i="1"/>
  <c r="FZ120" i="1"/>
  <c r="CH125" i="1"/>
  <c r="CK125" i="1"/>
  <c r="CN125" i="1"/>
  <c r="FZ125" i="1"/>
  <c r="CQ117" i="1"/>
  <c r="CQ122" i="1"/>
  <c r="CQ127" i="1"/>
  <c r="Q24" i="1"/>
  <c r="Q89" i="1"/>
  <c r="CH89" i="1"/>
  <c r="CK89" i="1"/>
  <c r="CN89" i="1"/>
  <c r="FZ89" i="1"/>
  <c r="DU89" i="1"/>
  <c r="EM89" i="1"/>
  <c r="EP89" i="1"/>
  <c r="ES89" i="1"/>
  <c r="FB89" i="1"/>
  <c r="FE89" i="1"/>
  <c r="FH89" i="1"/>
  <c r="FN89" i="1"/>
  <c r="FT89" i="1"/>
  <c r="EV89" i="1"/>
  <c r="FQ89" i="1"/>
  <c r="Q100" i="1"/>
  <c r="CH100" i="1"/>
  <c r="CK100" i="1"/>
  <c r="CN100" i="1"/>
  <c r="FZ100" i="1"/>
  <c r="DU100" i="1"/>
  <c r="EM100" i="1"/>
  <c r="EP100" i="1"/>
  <c r="ES100" i="1"/>
  <c r="FB100" i="1"/>
  <c r="FE100" i="1"/>
  <c r="FH100" i="1"/>
  <c r="FN100" i="1"/>
  <c r="FT100" i="1"/>
  <c r="EV100" i="1"/>
  <c r="FQ100" i="1"/>
  <c r="Q111" i="1"/>
  <c r="CH111" i="1"/>
  <c r="CK111" i="1"/>
  <c r="CN111" i="1"/>
  <c r="FZ111" i="1"/>
  <c r="DI111" i="1"/>
  <c r="DU111" i="1"/>
  <c r="EM111" i="1"/>
  <c r="EP111" i="1"/>
  <c r="ES111" i="1"/>
  <c r="FB111" i="1"/>
  <c r="FE111" i="1"/>
  <c r="FH111" i="1"/>
  <c r="FN111" i="1"/>
  <c r="FT111" i="1"/>
  <c r="EV111" i="1"/>
  <c r="FQ111" i="1"/>
  <c r="GA111" i="1"/>
  <c r="GB111" i="1"/>
  <c r="FN87" i="1"/>
  <c r="FT87" i="1"/>
  <c r="FQ87" i="1"/>
  <c r="FN98" i="1"/>
  <c r="FT98" i="1"/>
  <c r="FQ98" i="1"/>
  <c r="FN109" i="1"/>
  <c r="FT109" i="1"/>
  <c r="FQ109" i="1"/>
  <c r="FK89" i="1"/>
  <c r="FK100" i="1"/>
  <c r="FK111" i="1"/>
  <c r="EY89" i="1"/>
  <c r="EY100" i="1"/>
  <c r="EY111" i="1"/>
  <c r="EM87" i="1"/>
  <c r="EM98" i="1"/>
  <c r="EM109" i="1"/>
  <c r="EM108" i="1"/>
  <c r="EM107" i="1"/>
  <c r="EM106" i="1"/>
  <c r="EM86" i="1"/>
  <c r="EM85" i="1"/>
  <c r="EM84" i="1"/>
  <c r="DU87" i="1"/>
  <c r="DU98" i="1"/>
  <c r="DU109" i="1"/>
  <c r="DI109" i="1"/>
  <c r="CQ89" i="1"/>
  <c r="CQ100" i="1"/>
  <c r="CQ111" i="1"/>
  <c r="CH24" i="1"/>
  <c r="CH87" i="1"/>
  <c r="CH98" i="1"/>
  <c r="CH109" i="1"/>
  <c r="Q62" i="2"/>
  <c r="CK62" i="2"/>
  <c r="CN62" i="2"/>
  <c r="CH62" i="2"/>
  <c r="GO62" i="2"/>
  <c r="DO62" i="2"/>
  <c r="ES62" i="2"/>
  <c r="EV62" i="2"/>
  <c r="FZ62" i="2"/>
  <c r="EA62" i="2"/>
  <c r="FB62" i="2"/>
  <c r="FK62" i="2"/>
  <c r="FN62" i="2"/>
  <c r="FQ62" i="2"/>
  <c r="FW62" i="2"/>
  <c r="GP62" i="2"/>
  <c r="GQ62" i="2"/>
  <c r="Q66" i="2"/>
  <c r="CH66" i="2"/>
  <c r="CK66" i="2"/>
  <c r="CN66" i="2"/>
  <c r="GO66" i="2"/>
  <c r="DO66" i="2"/>
  <c r="ES66" i="2"/>
  <c r="EV66" i="2"/>
  <c r="FK66" i="2"/>
  <c r="FN66" i="2"/>
  <c r="FQ66" i="2"/>
  <c r="FW66" i="2"/>
  <c r="FZ66" i="2"/>
  <c r="EA66" i="2"/>
  <c r="FB66" i="2"/>
  <c r="GP66" i="2"/>
  <c r="GQ66" i="2"/>
  <c r="Q70" i="2"/>
  <c r="CH70" i="2"/>
  <c r="CK70" i="2"/>
  <c r="CN70" i="2"/>
  <c r="GO70" i="2"/>
  <c r="DO70" i="2"/>
  <c r="ES70" i="2"/>
  <c r="EV70" i="2"/>
  <c r="FK70" i="2"/>
  <c r="FN70" i="2"/>
  <c r="FQ70" i="2"/>
  <c r="FW70" i="2"/>
  <c r="FZ70" i="2"/>
  <c r="EA70" i="2"/>
  <c r="FB70" i="2"/>
  <c r="GP70" i="2"/>
  <c r="GQ70" i="2"/>
  <c r="Q61" i="2"/>
  <c r="CK61" i="2"/>
  <c r="CN61" i="2"/>
  <c r="CH61" i="2"/>
  <c r="GO61" i="2"/>
  <c r="DO61" i="2"/>
  <c r="EV21" i="2"/>
  <c r="EV61" i="2"/>
  <c r="FB61" i="2"/>
  <c r="FZ61" i="2"/>
  <c r="EA61" i="2"/>
  <c r="ES61" i="2"/>
  <c r="FK61" i="2"/>
  <c r="FN61" i="2"/>
  <c r="FQ61" i="2"/>
  <c r="FW61" i="2"/>
  <c r="GP61" i="2"/>
  <c r="GQ61" i="2"/>
  <c r="Q65" i="2"/>
  <c r="CH65" i="2"/>
  <c r="CK65" i="2"/>
  <c r="CN65" i="2"/>
  <c r="GO65" i="2"/>
  <c r="DO65" i="2"/>
  <c r="ES65" i="2"/>
  <c r="EV65" i="2"/>
  <c r="FB65" i="2"/>
  <c r="FK65" i="2"/>
  <c r="FN65" i="2"/>
  <c r="FQ65" i="2"/>
  <c r="FZ65" i="2"/>
  <c r="EA65" i="2"/>
  <c r="FW65" i="2"/>
  <c r="GP65" i="2"/>
  <c r="GQ65" i="2"/>
  <c r="Q69" i="2"/>
  <c r="CH69" i="2"/>
  <c r="CK69" i="2"/>
  <c r="CN69" i="2"/>
  <c r="GO69" i="2"/>
  <c r="DO69" i="2"/>
  <c r="ES69" i="2"/>
  <c r="EV69" i="2"/>
  <c r="FB69" i="2"/>
  <c r="FK69" i="2"/>
  <c r="FN69" i="2"/>
  <c r="FQ69" i="2"/>
  <c r="FZ69" i="2"/>
  <c r="EA69" i="2"/>
  <c r="FW69" i="2"/>
  <c r="GP69" i="2"/>
  <c r="GQ69" i="2"/>
  <c r="GL62" i="2"/>
  <c r="GL66" i="2"/>
  <c r="GL70" i="2"/>
  <c r="GL61" i="2"/>
  <c r="GL65" i="2"/>
  <c r="GL69" i="2"/>
  <c r="FT62" i="2"/>
  <c r="FT66" i="2"/>
  <c r="FT70" i="2"/>
  <c r="FT61" i="2"/>
  <c r="FT65" i="2"/>
  <c r="FT69" i="2"/>
  <c r="CT66" i="2"/>
  <c r="CT62" i="2"/>
  <c r="CT70" i="2"/>
  <c r="CT65" i="2"/>
  <c r="CT69" i="2"/>
  <c r="Q49" i="2"/>
  <c r="CH49" i="2"/>
  <c r="CK49" i="2"/>
  <c r="CN49" i="2"/>
  <c r="GO49" i="2"/>
  <c r="DO49" i="2"/>
  <c r="ES49" i="2"/>
  <c r="EV49" i="2"/>
  <c r="FZ49" i="2"/>
  <c r="EA49" i="2"/>
  <c r="FB49" i="2"/>
  <c r="FK49" i="2"/>
  <c r="FN49" i="2"/>
  <c r="FQ49" i="2"/>
  <c r="FW49" i="2"/>
  <c r="GP49" i="2"/>
  <c r="GQ49" i="2"/>
  <c r="Q53" i="2"/>
  <c r="CH53" i="2"/>
  <c r="CK53" i="2"/>
  <c r="CN53" i="2"/>
  <c r="GO53" i="2"/>
  <c r="DO53" i="2"/>
  <c r="EA53" i="2"/>
  <c r="ES53" i="2"/>
  <c r="EV53" i="2"/>
  <c r="FK53" i="2"/>
  <c r="FN53" i="2"/>
  <c r="FQ53" i="2"/>
  <c r="FW53" i="2"/>
  <c r="FZ53" i="2"/>
  <c r="FB53" i="2"/>
  <c r="GP53" i="2"/>
  <c r="GQ53" i="2"/>
  <c r="Q57" i="2"/>
  <c r="CH57" i="2"/>
  <c r="CK57" i="2"/>
  <c r="CN57" i="2"/>
  <c r="GO57" i="2"/>
  <c r="DO57" i="2"/>
  <c r="EA57" i="2"/>
  <c r="ES57" i="2"/>
  <c r="EV57" i="2"/>
  <c r="FK57" i="2"/>
  <c r="FN57" i="2"/>
  <c r="FQ57" i="2"/>
  <c r="FW57" i="2"/>
  <c r="FZ57" i="2"/>
  <c r="FB57" i="2"/>
  <c r="GP57" i="2"/>
  <c r="GQ57" i="2"/>
  <c r="Q48" i="2"/>
  <c r="CH48" i="2"/>
  <c r="CK48" i="2"/>
  <c r="CN48" i="2"/>
  <c r="GO48" i="2"/>
  <c r="DO48" i="2"/>
  <c r="EV48" i="2"/>
  <c r="FB48" i="2"/>
  <c r="FZ48" i="2"/>
  <c r="EA48" i="2"/>
  <c r="ES48" i="2"/>
  <c r="FK48" i="2"/>
  <c r="FN48" i="2"/>
  <c r="FQ48" i="2"/>
  <c r="FW48" i="2"/>
  <c r="GP48" i="2"/>
  <c r="GQ48" i="2"/>
  <c r="Q52" i="2"/>
  <c r="CH52" i="2"/>
  <c r="CK52" i="2"/>
  <c r="CN52" i="2"/>
  <c r="GO52" i="2"/>
  <c r="DO52" i="2"/>
  <c r="ES52" i="2"/>
  <c r="EV52" i="2"/>
  <c r="FB52" i="2"/>
  <c r="FK52" i="2"/>
  <c r="FN52" i="2"/>
  <c r="FQ52" i="2"/>
  <c r="FZ52" i="2"/>
  <c r="EA52" i="2"/>
  <c r="FW52" i="2"/>
  <c r="GP52" i="2"/>
  <c r="GQ52" i="2"/>
  <c r="Q56" i="2"/>
  <c r="CH56" i="2"/>
  <c r="CK56" i="2"/>
  <c r="CN56" i="2"/>
  <c r="GO56" i="2"/>
  <c r="DO56" i="2"/>
  <c r="ES56" i="2"/>
  <c r="EV56" i="2"/>
  <c r="FB56" i="2"/>
  <c r="FK56" i="2"/>
  <c r="FN56" i="2"/>
  <c r="FQ56" i="2"/>
  <c r="FZ56" i="2"/>
  <c r="EA56" i="2"/>
  <c r="FW56" i="2"/>
  <c r="GP56" i="2"/>
  <c r="GQ56" i="2"/>
  <c r="GL49" i="2"/>
  <c r="GL53" i="2"/>
  <c r="GL57" i="2"/>
  <c r="GL48" i="2"/>
  <c r="GL52" i="2"/>
  <c r="GL56" i="2"/>
  <c r="FT49" i="2"/>
  <c r="FT53" i="2"/>
  <c r="FT57" i="2"/>
  <c r="FT48" i="2"/>
  <c r="FT52" i="2"/>
  <c r="FT56" i="2"/>
  <c r="CT49" i="2"/>
  <c r="CT53" i="2"/>
  <c r="CT57" i="2"/>
  <c r="CT48" i="2"/>
  <c r="CT52" i="2"/>
  <c r="CT56" i="2"/>
  <c r="Q36" i="2"/>
  <c r="CH36" i="2"/>
  <c r="CK36" i="2"/>
  <c r="CN36" i="2"/>
  <c r="CQ36" i="2"/>
  <c r="GO36" i="2"/>
  <c r="EA36" i="2"/>
  <c r="EV36" i="2"/>
  <c r="FK36" i="2"/>
  <c r="FN36" i="2"/>
  <c r="FQ36" i="2"/>
  <c r="FW36" i="2"/>
  <c r="GP36" i="2"/>
  <c r="GQ36" i="2"/>
  <c r="Q40" i="2"/>
  <c r="CH40" i="2"/>
  <c r="CK40" i="2"/>
  <c r="CN40" i="2"/>
  <c r="CQ40" i="2"/>
  <c r="GO40" i="2"/>
  <c r="EA40" i="2"/>
  <c r="EV40" i="2"/>
  <c r="FK40" i="2"/>
  <c r="FN40" i="2"/>
  <c r="FQ40" i="2"/>
  <c r="FW40" i="2"/>
  <c r="GP40" i="2"/>
  <c r="GQ40" i="2"/>
  <c r="Q44" i="2"/>
  <c r="CH44" i="2"/>
  <c r="CK44" i="2"/>
  <c r="CN44" i="2"/>
  <c r="CQ44" i="2"/>
  <c r="GO44" i="2"/>
  <c r="EA44" i="2"/>
  <c r="EV44" i="2"/>
  <c r="FK44" i="2"/>
  <c r="FN44" i="2"/>
  <c r="FQ44" i="2"/>
  <c r="FW44" i="2"/>
  <c r="GP44" i="2"/>
  <c r="GQ44" i="2"/>
  <c r="Q35" i="2"/>
  <c r="CH35" i="2"/>
  <c r="CN35" i="2"/>
  <c r="CQ35" i="2"/>
  <c r="CK35" i="2"/>
  <c r="GO35" i="2"/>
  <c r="EA35" i="2"/>
  <c r="EV35" i="2"/>
  <c r="FK35" i="2"/>
  <c r="FN35" i="2"/>
  <c r="FQ35" i="2"/>
  <c r="FW35" i="2"/>
  <c r="GP35" i="2"/>
  <c r="GQ35" i="2"/>
  <c r="Q39" i="2"/>
  <c r="CH39" i="2"/>
  <c r="CN39" i="2"/>
  <c r="CQ39" i="2"/>
  <c r="CK39" i="2"/>
  <c r="GO39" i="2"/>
  <c r="EA39" i="2"/>
  <c r="EV39" i="2"/>
  <c r="FK39" i="2"/>
  <c r="FN39" i="2"/>
  <c r="FQ39" i="2"/>
  <c r="FW39" i="2"/>
  <c r="GP39" i="2"/>
  <c r="GQ39" i="2"/>
  <c r="Q43" i="2"/>
  <c r="CH43" i="2"/>
  <c r="CN43" i="2"/>
  <c r="CQ43" i="2"/>
  <c r="CK43" i="2"/>
  <c r="GO43" i="2"/>
  <c r="EA43" i="2"/>
  <c r="EV43" i="2"/>
  <c r="FK43" i="2"/>
  <c r="FN43" i="2"/>
  <c r="FQ43" i="2"/>
  <c r="FW43" i="2"/>
  <c r="GP43" i="2"/>
  <c r="GQ43" i="2"/>
  <c r="FT36" i="2"/>
  <c r="FT40" i="2"/>
  <c r="FT44" i="2"/>
  <c r="FT35" i="2"/>
  <c r="FT39" i="2"/>
  <c r="FT43" i="2"/>
  <c r="CT36" i="2"/>
  <c r="CT40" i="2"/>
  <c r="CT44" i="2"/>
  <c r="CT35" i="2"/>
  <c r="CT39" i="2"/>
  <c r="CT43" i="2"/>
  <c r="Q142" i="1"/>
  <c r="Q137" i="1"/>
  <c r="Q132" i="1"/>
  <c r="FN148" i="1"/>
  <c r="FN153" i="1"/>
  <c r="FN158" i="1"/>
  <c r="EP158" i="1"/>
  <c r="EP157" i="1"/>
  <c r="EP141" i="1"/>
  <c r="EP153" i="1"/>
  <c r="EP137" i="1"/>
  <c r="EP152" i="1"/>
  <c r="EP136" i="1"/>
  <c r="DI137" i="1"/>
  <c r="DI136" i="1"/>
  <c r="FQ142" i="1"/>
  <c r="FQ137" i="1"/>
  <c r="FQ132" i="1"/>
  <c r="FN142" i="1"/>
  <c r="FN137" i="1"/>
  <c r="FN132" i="1"/>
  <c r="EV142" i="1"/>
  <c r="EV141" i="1"/>
  <c r="EV125" i="1"/>
  <c r="EV137" i="1"/>
  <c r="EV136" i="1"/>
  <c r="EV120" i="1"/>
  <c r="EP142" i="1"/>
  <c r="EP125" i="1"/>
  <c r="EP121" i="1"/>
  <c r="EP120" i="1"/>
  <c r="FQ121" i="1"/>
  <c r="FQ116" i="1"/>
  <c r="FQ126" i="1"/>
  <c r="FN126" i="1"/>
  <c r="FN121" i="1"/>
  <c r="FN116" i="1"/>
  <c r="EV126" i="1"/>
  <c r="EV121" i="1"/>
  <c r="EP126" i="1"/>
  <c r="EM126" i="1"/>
  <c r="EM121" i="1"/>
  <c r="EM116" i="1"/>
  <c r="DU121" i="1"/>
  <c r="DI116" i="1"/>
  <c r="DI115" i="1"/>
  <c r="Q121" i="1"/>
  <c r="Q116" i="1"/>
  <c r="Q126" i="1"/>
  <c r="EM97" i="1"/>
  <c r="EM96" i="1"/>
  <c r="EM95" i="1"/>
  <c r="FN110" i="1"/>
  <c r="FN99" i="1"/>
  <c r="FN108" i="1"/>
  <c r="FN107" i="1"/>
  <c r="FN106" i="1"/>
  <c r="FN97" i="1"/>
  <c r="FN96" i="1"/>
  <c r="FN95" i="1"/>
  <c r="FN105" i="1"/>
  <c r="FN104" i="1"/>
  <c r="FN103" i="1"/>
  <c r="FN94" i="1"/>
  <c r="FN93" i="1"/>
  <c r="FN92" i="1"/>
  <c r="EP110" i="1"/>
  <c r="EP109" i="1"/>
  <c r="EP99" i="1"/>
  <c r="EP98" i="1"/>
  <c r="EP108" i="1"/>
  <c r="EP107" i="1"/>
  <c r="EP106" i="1"/>
  <c r="EP97" i="1"/>
  <c r="EP96" i="1"/>
  <c r="EP95" i="1"/>
  <c r="EP93" i="1"/>
  <c r="EP94" i="1"/>
  <c r="EP92" i="1"/>
  <c r="EM110" i="1"/>
  <c r="EM99" i="1"/>
  <c r="EM88" i="1"/>
  <c r="EM105" i="1"/>
  <c r="EM104" i="1"/>
  <c r="EM103" i="1"/>
  <c r="EM69" i="1"/>
  <c r="EM94" i="1"/>
  <c r="EM93" i="1"/>
  <c r="EM92" i="1"/>
  <c r="DU99" i="1"/>
  <c r="DU88" i="1"/>
  <c r="DU108" i="1"/>
  <c r="DU107" i="1"/>
  <c r="DU106" i="1"/>
  <c r="DU86" i="1"/>
  <c r="DU92" i="1"/>
  <c r="DU85" i="1"/>
  <c r="DU84" i="1"/>
  <c r="DU97" i="1"/>
  <c r="DU96" i="1"/>
  <c r="DU95" i="1"/>
  <c r="DU105" i="1"/>
  <c r="DU104" i="1"/>
  <c r="DU103" i="1"/>
  <c r="DU94" i="1"/>
  <c r="DU93" i="1"/>
  <c r="DI110" i="1"/>
  <c r="DI108" i="1"/>
  <c r="DI107" i="1"/>
  <c r="DI106" i="1"/>
  <c r="DI105" i="1"/>
  <c r="DI104" i="1"/>
  <c r="DI103" i="1"/>
  <c r="DI94" i="1"/>
  <c r="DI93" i="1"/>
  <c r="DI92" i="1"/>
  <c r="Q110" i="1"/>
  <c r="Q109" i="1"/>
  <c r="Q108" i="1"/>
  <c r="Q107" i="1"/>
  <c r="Q106" i="1"/>
  <c r="Q94" i="1"/>
  <c r="Q93" i="1"/>
  <c r="Q92" i="1"/>
  <c r="Q105" i="1"/>
  <c r="Q104" i="1"/>
  <c r="Q103" i="1"/>
  <c r="Q83" i="1"/>
  <c r="Q82" i="1"/>
  <c r="Q81" i="1"/>
  <c r="DU69" i="1"/>
  <c r="DI69" i="1"/>
  <c r="FB152" i="1"/>
  <c r="FH158" i="1"/>
  <c r="FH157" i="1"/>
  <c r="FH152" i="1"/>
  <c r="FT158" i="1"/>
  <c r="FT157" i="1"/>
  <c r="FT153" i="1"/>
  <c r="FT152" i="1"/>
  <c r="FQ158" i="1"/>
  <c r="FQ157" i="1"/>
  <c r="FQ153" i="1"/>
  <c r="FQ152" i="1"/>
  <c r="EV158" i="1"/>
  <c r="EV157" i="1"/>
  <c r="EV153" i="1"/>
  <c r="EV152" i="1"/>
  <c r="ES158" i="1"/>
  <c r="ES157" i="1"/>
  <c r="ES153" i="1"/>
  <c r="ES152" i="1"/>
  <c r="EP148" i="1"/>
  <c r="EP147" i="1"/>
  <c r="DU158" i="1"/>
  <c r="DU157" i="1"/>
  <c r="DU153" i="1"/>
  <c r="DU152" i="1"/>
  <c r="FH142" i="1"/>
  <c r="FH141" i="1"/>
  <c r="FH137" i="1"/>
  <c r="FH136" i="1"/>
  <c r="FH132" i="1"/>
  <c r="FH131" i="1"/>
  <c r="FT142" i="1"/>
  <c r="FT137" i="1"/>
  <c r="FE142" i="1"/>
  <c r="FE141" i="1"/>
  <c r="FE137" i="1"/>
  <c r="FE136" i="1"/>
  <c r="FB136" i="1"/>
  <c r="FB137" i="1"/>
  <c r="EV132" i="1"/>
  <c r="EV131" i="1"/>
  <c r="ES142" i="1"/>
  <c r="ES141" i="1"/>
  <c r="ES137" i="1"/>
  <c r="ES136" i="1"/>
  <c r="EP132" i="1"/>
  <c r="EP131" i="1"/>
  <c r="DU142" i="1"/>
  <c r="DU141" i="1"/>
  <c r="DU137" i="1"/>
  <c r="DU136" i="1"/>
  <c r="FT126" i="1"/>
  <c r="FT121" i="1"/>
  <c r="FH126" i="1"/>
  <c r="FH125" i="1"/>
  <c r="FH121" i="1"/>
  <c r="FH120" i="1"/>
  <c r="FE126" i="1"/>
  <c r="FE125" i="1"/>
  <c r="FE121" i="1"/>
  <c r="FE120" i="1"/>
  <c r="FB121" i="1"/>
  <c r="FB120" i="1"/>
  <c r="EV115" i="1"/>
  <c r="EV116" i="1"/>
  <c r="ES126" i="1"/>
  <c r="ES125" i="1"/>
  <c r="ES121" i="1"/>
  <c r="ES120" i="1"/>
  <c r="FT108" i="1"/>
  <c r="FT107" i="1"/>
  <c r="FT106" i="1"/>
  <c r="FT105" i="1"/>
  <c r="FT104" i="1"/>
  <c r="FT103" i="1"/>
  <c r="FT97" i="1"/>
  <c r="FT96" i="1"/>
  <c r="FT95" i="1"/>
  <c r="FT94" i="1"/>
  <c r="FT93" i="1"/>
  <c r="FT92" i="1"/>
  <c r="FQ110" i="1"/>
  <c r="FQ108" i="1"/>
  <c r="FQ107" i="1"/>
  <c r="FQ106" i="1"/>
  <c r="FQ105" i="1"/>
  <c r="FQ104" i="1"/>
  <c r="FQ103" i="1"/>
  <c r="FQ99" i="1"/>
  <c r="FQ97" i="1"/>
  <c r="FQ96" i="1"/>
  <c r="FQ95" i="1"/>
  <c r="FQ94" i="1"/>
  <c r="FQ93" i="1"/>
  <c r="FQ92" i="1"/>
  <c r="FH109" i="1"/>
  <c r="FH110" i="1"/>
  <c r="FH106" i="1"/>
  <c r="FH107" i="1"/>
  <c r="FH108" i="1"/>
  <c r="FH103" i="1"/>
  <c r="FH104" i="1"/>
  <c r="FH105" i="1"/>
  <c r="FH98" i="1"/>
  <c r="FH99" i="1"/>
  <c r="FH95" i="1"/>
  <c r="FH96" i="1"/>
  <c r="FH97" i="1"/>
  <c r="FH92" i="1"/>
  <c r="FH93" i="1"/>
  <c r="FH94" i="1"/>
  <c r="FE110" i="1"/>
  <c r="FE109" i="1"/>
  <c r="FE108" i="1"/>
  <c r="FE107" i="1"/>
  <c r="FE106" i="1"/>
  <c r="FE105" i="1"/>
  <c r="FB105" i="1"/>
  <c r="FK105" i="1"/>
  <c r="FE104" i="1"/>
  <c r="FE103" i="1"/>
  <c r="FB103" i="1"/>
  <c r="FK103" i="1"/>
  <c r="FE99" i="1"/>
  <c r="FE98" i="1"/>
  <c r="FE97" i="1"/>
  <c r="FE96" i="1"/>
  <c r="FE95" i="1"/>
  <c r="FE94" i="1"/>
  <c r="FB94" i="1"/>
  <c r="FK94" i="1"/>
  <c r="FE93" i="1"/>
  <c r="FE92" i="1"/>
  <c r="FB92" i="1"/>
  <c r="FK92" i="1"/>
  <c r="FB110" i="1"/>
  <c r="FB109" i="1"/>
  <c r="FB108" i="1"/>
  <c r="FB107" i="1"/>
  <c r="FB106" i="1"/>
  <c r="FB93" i="1"/>
  <c r="FB104" i="1"/>
  <c r="FB83" i="1"/>
  <c r="FB82" i="1"/>
  <c r="FB81" i="1"/>
  <c r="EV110" i="1"/>
  <c r="EV109" i="1"/>
  <c r="EV108" i="1"/>
  <c r="EV107" i="1"/>
  <c r="EV106" i="1"/>
  <c r="EV105" i="1"/>
  <c r="EV104" i="1"/>
  <c r="EV103" i="1"/>
  <c r="EV99" i="1"/>
  <c r="EV98" i="1"/>
  <c r="EV97" i="1"/>
  <c r="EV96" i="1"/>
  <c r="EV95" i="1"/>
  <c r="EV94" i="1"/>
  <c r="EV93" i="1"/>
  <c r="EV92" i="1"/>
  <c r="ES110" i="1"/>
  <c r="ES109" i="1"/>
  <c r="ES108" i="1"/>
  <c r="ES107" i="1"/>
  <c r="ES106" i="1"/>
  <c r="ES105" i="1"/>
  <c r="ES104" i="1"/>
  <c r="ES103" i="1"/>
  <c r="ES99" i="1"/>
  <c r="ES98" i="1"/>
  <c r="ES97" i="1"/>
  <c r="ES96" i="1"/>
  <c r="ES95" i="1"/>
  <c r="ES94" i="1"/>
  <c r="ES93" i="1"/>
  <c r="ES92" i="1"/>
  <c r="EP105" i="1"/>
  <c r="EY105" i="1"/>
  <c r="EP88" i="1"/>
  <c r="EP87" i="1"/>
  <c r="EP85" i="1"/>
  <c r="EP84" i="1"/>
  <c r="EP82" i="1"/>
  <c r="EP81" i="1"/>
  <c r="CK105" i="1"/>
  <c r="CK104" i="1"/>
  <c r="CK103" i="1"/>
  <c r="CK94" i="1"/>
  <c r="CK93" i="1"/>
  <c r="CK92" i="1"/>
  <c r="DI126" i="1"/>
  <c r="GA108" i="1"/>
  <c r="GA106" i="1"/>
  <c r="GA107" i="1"/>
  <c r="DI86" i="1"/>
  <c r="GA86" i="1" s="1"/>
  <c r="DI84" i="1"/>
  <c r="GA84" i="1" s="1"/>
  <c r="FK110" i="1"/>
  <c r="FK93" i="1"/>
  <c r="FK109" i="1"/>
  <c r="FK106" i="1"/>
  <c r="FK104" i="1"/>
  <c r="FK107" i="1"/>
  <c r="FK108" i="1"/>
  <c r="FK120" i="1"/>
  <c r="FK126" i="1"/>
  <c r="FK142" i="1"/>
  <c r="FK136" i="1"/>
  <c r="EV22" i="2"/>
  <c r="FE65" i="2"/>
  <c r="FE52" i="2"/>
  <c r="FE61" i="2"/>
  <c r="CT61" i="2"/>
  <c r="FE70" i="2"/>
  <c r="FE62" i="2"/>
  <c r="FE57" i="2"/>
  <c r="FE49" i="2"/>
  <c r="FE53" i="2"/>
  <c r="FE66" i="2"/>
  <c r="FE69" i="2"/>
  <c r="FE56" i="2"/>
  <c r="FE48" i="2"/>
  <c r="FT86" i="1"/>
  <c r="FT85" i="1"/>
  <c r="FT84" i="1"/>
  <c r="FT83" i="1"/>
  <c r="FT82" i="1"/>
  <c r="FT81" i="1"/>
  <c r="FQ88" i="1"/>
  <c r="FQ86" i="1"/>
  <c r="FQ85" i="1"/>
  <c r="FQ84" i="1"/>
  <c r="FQ83" i="1"/>
  <c r="FQ82" i="1"/>
  <c r="FQ81" i="1"/>
  <c r="FN83" i="1"/>
  <c r="FN82" i="1"/>
  <c r="FN81" i="1"/>
  <c r="EV88" i="1"/>
  <c r="EV87" i="1"/>
  <c r="EV86" i="1"/>
  <c r="EV85" i="1"/>
  <c r="EV84" i="1"/>
  <c r="EV83" i="1"/>
  <c r="EV82" i="1"/>
  <c r="EV81" i="1"/>
  <c r="EM83" i="1"/>
  <c r="EM82" i="1"/>
  <c r="EM81" i="1"/>
  <c r="DU83" i="1"/>
  <c r="DU82" i="1"/>
  <c r="DU81" i="1"/>
  <c r="CK83" i="1"/>
  <c r="CK82" i="1"/>
  <c r="CK81" i="1"/>
  <c r="FT148" i="1"/>
  <c r="FT147" i="1"/>
  <c r="FQ148" i="1"/>
  <c r="FQ147" i="1"/>
  <c r="DU148" i="1"/>
  <c r="DU147" i="1"/>
  <c r="DU132" i="1"/>
  <c r="DU131" i="1"/>
  <c r="FT116" i="1"/>
  <c r="EY153" i="1"/>
  <c r="EY152" i="1"/>
  <c r="EY158" i="1"/>
  <c r="EY157" i="1"/>
  <c r="FB96" i="1"/>
  <c r="FK96" i="1"/>
  <c r="FB95" i="1"/>
  <c r="FK95" i="1"/>
  <c r="FB85" i="1"/>
  <c r="FB84" i="1"/>
  <c r="FB97" i="1"/>
  <c r="FK97" i="1"/>
  <c r="FB86" i="1"/>
  <c r="FB87" i="1"/>
  <c r="FB99" i="1"/>
  <c r="FK99" i="1"/>
  <c r="FB98" i="1"/>
  <c r="FK98" i="1"/>
  <c r="FB88" i="1"/>
  <c r="FE147" i="1"/>
  <c r="FE158" i="1"/>
  <c r="FE152" i="1"/>
  <c r="FK152" i="1"/>
  <c r="FE148" i="1"/>
  <c r="FE157" i="1"/>
  <c r="EY110" i="1"/>
  <c r="EY99" i="1"/>
  <c r="EY98" i="1"/>
  <c r="EY109" i="1"/>
  <c r="FB148" i="1"/>
  <c r="FB147" i="1"/>
  <c r="FB132" i="1"/>
  <c r="FB115" i="1"/>
  <c r="FB131" i="1"/>
  <c r="FB116" i="1"/>
  <c r="EP83" i="1"/>
  <c r="EY93" i="1"/>
  <c r="EP86" i="1"/>
  <c r="EP104" i="1"/>
  <c r="EY104" i="1"/>
  <c r="EY94" i="1"/>
  <c r="EP103" i="1"/>
  <c r="EY81" i="1"/>
  <c r="EY103" i="1"/>
  <c r="FB158" i="1"/>
  <c r="FB142" i="1"/>
  <c r="FK137" i="1"/>
  <c r="FB126" i="1"/>
  <c r="FK121" i="1"/>
  <c r="FB157" i="1"/>
  <c r="FB125" i="1"/>
  <c r="FK125" i="1"/>
  <c r="FB141" i="1"/>
  <c r="FK141" i="1"/>
  <c r="EY106" i="1"/>
  <c r="EY95" i="1"/>
  <c r="EY108" i="1"/>
  <c r="EY97" i="1"/>
  <c r="EY96" i="1"/>
  <c r="EY107" i="1"/>
  <c r="FT110" i="1"/>
  <c r="FT99" i="1"/>
  <c r="FT88" i="1"/>
  <c r="CH47" i="1"/>
  <c r="Q48" i="1"/>
  <c r="Q47" i="1"/>
  <c r="EY120" i="1"/>
  <c r="EY125" i="1"/>
  <c r="EY126" i="1"/>
  <c r="EY142" i="1"/>
  <c r="EY141" i="1"/>
  <c r="EY121" i="1"/>
  <c r="EY137" i="1"/>
  <c r="EY136" i="1"/>
  <c r="FK153" i="1"/>
  <c r="FK157" i="1"/>
  <c r="EM137" i="1"/>
  <c r="CK109" i="1"/>
  <c r="CK108" i="1"/>
  <c r="CK106" i="1"/>
  <c r="CK107" i="1"/>
  <c r="CK110" i="1"/>
  <c r="CH126" i="1"/>
  <c r="CH142" i="1"/>
  <c r="DI148" i="1"/>
  <c r="DI132" i="1"/>
  <c r="DI147" i="1"/>
  <c r="DI131" i="1"/>
  <c r="EM131" i="1"/>
  <c r="EM132" i="1"/>
  <c r="EM136" i="1"/>
  <c r="CN158" i="1"/>
  <c r="CN142" i="1"/>
  <c r="CN153" i="1"/>
  <c r="CN137" i="1"/>
  <c r="CN110" i="1"/>
  <c r="CN106" i="1"/>
  <c r="CN96" i="1"/>
  <c r="CN92" i="1"/>
  <c r="CQ92" i="1"/>
  <c r="CN95" i="1"/>
  <c r="CN107" i="1"/>
  <c r="CN98" i="1"/>
  <c r="CN121" i="1"/>
  <c r="CN109" i="1"/>
  <c r="CN104" i="1"/>
  <c r="CQ104" i="1"/>
  <c r="CN126" i="1"/>
  <c r="CN103" i="1"/>
  <c r="CQ103" i="1"/>
  <c r="CN99" i="1"/>
  <c r="CN94" i="1"/>
  <c r="CQ94" i="1"/>
  <c r="CN105" i="1"/>
  <c r="CQ105" i="1"/>
  <c r="CN97" i="1"/>
  <c r="CN108" i="1"/>
  <c r="CN86" i="1"/>
  <c r="CN83" i="1"/>
  <c r="CQ83" i="1"/>
  <c r="CN132" i="1"/>
  <c r="CN148" i="1"/>
  <c r="CN82" i="1"/>
  <c r="CQ82" i="1"/>
  <c r="CN87" i="1"/>
  <c r="CN93" i="1"/>
  <c r="CQ93" i="1"/>
  <c r="CN85" i="1"/>
  <c r="CN84" i="1"/>
  <c r="CN88" i="1"/>
  <c r="CN81" i="1"/>
  <c r="CQ81" i="1"/>
  <c r="EM141" i="1"/>
  <c r="EM142" i="1"/>
  <c r="DI153" i="1"/>
  <c r="DI152" i="1"/>
  <c r="CH137" i="1"/>
  <c r="CH121" i="1"/>
  <c r="CN116" i="1"/>
  <c r="CQ110" i="1"/>
  <c r="CQ108" i="1"/>
  <c r="Q99" i="1"/>
  <c r="Q87" i="1"/>
  <c r="Q97" i="1"/>
  <c r="Q85" i="1"/>
  <c r="Q98" i="1"/>
  <c r="Q96" i="1"/>
  <c r="Q84" i="1"/>
  <c r="Q95" i="1"/>
  <c r="Q88" i="1"/>
  <c r="Q86" i="1"/>
  <c r="CQ107" i="1"/>
  <c r="CQ109" i="1"/>
  <c r="CQ106" i="1"/>
  <c r="GA136" i="1"/>
  <c r="GA137" i="1"/>
  <c r="GA141" i="1"/>
  <c r="CH110" i="1"/>
  <c r="CK95" i="1"/>
  <c r="CQ95" i="1"/>
  <c r="CK97" i="1"/>
  <c r="CQ97" i="1"/>
  <c r="CK96" i="1"/>
  <c r="CQ96" i="1"/>
  <c r="CH116" i="1"/>
  <c r="CH132" i="1"/>
  <c r="DU126" i="1"/>
  <c r="GA103" i="1"/>
  <c r="GA93" i="1"/>
  <c r="GA105" i="1"/>
  <c r="GA104" i="1"/>
  <c r="GA94" i="1"/>
  <c r="GA92" i="1"/>
  <c r="CK99" i="1"/>
  <c r="CQ99" i="1"/>
  <c r="CK98" i="1"/>
  <c r="CQ98" i="1"/>
  <c r="CK121" i="1"/>
  <c r="CK142" i="1"/>
  <c r="CQ142" i="1"/>
  <c r="CQ125" i="1"/>
  <c r="CK137" i="1"/>
  <c r="CK126" i="1"/>
  <c r="CQ126" i="1"/>
  <c r="GA97" i="1"/>
  <c r="GA95" i="1"/>
  <c r="GA96" i="1"/>
  <c r="CH103" i="1"/>
  <c r="FZ103" i="1"/>
  <c r="CH92" i="1"/>
  <c r="FZ92" i="1"/>
  <c r="CH94" i="1"/>
  <c r="FZ94" i="1"/>
  <c r="CH105" i="1"/>
  <c r="FZ105" i="1"/>
  <c r="CH93" i="1"/>
  <c r="FZ93" i="1"/>
  <c r="CH104" i="1"/>
  <c r="FZ104" i="1"/>
  <c r="CK158" i="1"/>
  <c r="CQ158" i="1"/>
  <c r="CK148" i="1"/>
  <c r="CQ148" i="1"/>
  <c r="CK153" i="1"/>
  <c r="CQ153" i="1"/>
  <c r="Q153" i="1"/>
  <c r="Q148" i="1"/>
  <c r="Q158" i="1"/>
  <c r="CH158" i="1"/>
  <c r="CH148" i="1"/>
  <c r="CH153" i="1"/>
  <c r="EM158" i="1"/>
  <c r="GA152" i="1"/>
  <c r="EM148" i="1"/>
  <c r="GA157" i="1"/>
  <c r="EM153" i="1"/>
  <c r="GA153" i="1"/>
  <c r="CH107" i="1"/>
  <c r="CH108" i="1"/>
  <c r="CH106" i="1"/>
  <c r="DU110" i="1"/>
  <c r="GA110" i="1"/>
  <c r="GA109" i="1"/>
  <c r="CH96" i="1"/>
  <c r="CH86" i="1"/>
  <c r="CH99" i="1"/>
  <c r="CH95" i="1"/>
  <c r="CH85" i="1"/>
  <c r="CH88" i="1"/>
  <c r="CH84" i="1"/>
  <c r="CH97" i="1"/>
  <c r="FH84" i="1"/>
  <c r="FH87" i="1"/>
  <c r="FH81" i="1"/>
  <c r="ES88" i="1"/>
  <c r="EY88" i="1"/>
  <c r="ES84" i="1"/>
  <c r="EY84" i="1"/>
  <c r="ES87" i="1"/>
  <c r="EY87" i="1"/>
  <c r="ES83" i="1"/>
  <c r="EY83" i="1"/>
  <c r="ES86" i="1"/>
  <c r="EY86" i="1"/>
  <c r="ES82" i="1"/>
  <c r="EY82" i="1"/>
  <c r="ES85" i="1"/>
  <c r="EY85" i="1"/>
  <c r="ES81" i="1"/>
  <c r="EY92" i="1"/>
  <c r="FN85" i="1"/>
  <c r="FN84" i="1"/>
  <c r="FN86" i="1"/>
  <c r="FH83" i="1"/>
  <c r="FH86" i="1"/>
  <c r="CH83" i="1"/>
  <c r="FZ83" i="1"/>
  <c r="CH81" i="1"/>
  <c r="FZ81" i="1"/>
  <c r="CH82" i="1"/>
  <c r="FZ82" i="1"/>
  <c r="CK88" i="1"/>
  <c r="CQ88" i="1"/>
  <c r="CK87" i="1"/>
  <c r="CQ87" i="1"/>
  <c r="FN88" i="1"/>
  <c r="FE86" i="1"/>
  <c r="FE82" i="1"/>
  <c r="FE85" i="1"/>
  <c r="FE81" i="1"/>
  <c r="FE88" i="1"/>
  <c r="FE84" i="1"/>
  <c r="FE87" i="1"/>
  <c r="FE83" i="1"/>
  <c r="FH82" i="1"/>
  <c r="FH85" i="1"/>
  <c r="FH88" i="1"/>
  <c r="CK86" i="1"/>
  <c r="CQ86" i="1"/>
  <c r="CK85" i="1"/>
  <c r="CQ85" i="1"/>
  <c r="CK84" i="1"/>
  <c r="CQ84" i="1"/>
  <c r="FH115" i="1"/>
  <c r="FH147" i="1"/>
  <c r="FK147" i="1"/>
  <c r="EP115" i="1"/>
  <c r="FE132" i="1"/>
  <c r="FK132" i="1"/>
  <c r="FE131" i="1"/>
  <c r="FK131" i="1"/>
  <c r="FE116" i="1"/>
  <c r="FE115" i="1"/>
  <c r="FH116" i="1"/>
  <c r="FH148" i="1"/>
  <c r="FK148" i="1"/>
  <c r="EP116" i="1"/>
  <c r="ES147" i="1"/>
  <c r="EY147" i="1"/>
  <c r="ES115" i="1"/>
  <c r="ES132" i="1"/>
  <c r="EY132" i="1"/>
  <c r="ES116" i="1"/>
  <c r="ES148" i="1"/>
  <c r="EY148" i="1"/>
  <c r="ES131" i="1"/>
  <c r="EY131" i="1"/>
  <c r="CK116" i="1"/>
  <c r="CQ116" i="1"/>
  <c r="CK132" i="1"/>
  <c r="CQ132" i="1"/>
  <c r="CQ115" i="1"/>
  <c r="DU116" i="1"/>
  <c r="FK87" i="1"/>
  <c r="FK84" i="1"/>
  <c r="FK83" i="1"/>
  <c r="FK81" i="1"/>
  <c r="FK86" i="1"/>
  <c r="FZ109" i="1"/>
  <c r="FK85" i="1"/>
  <c r="FK116" i="1"/>
  <c r="FK88" i="1"/>
  <c r="FK82" i="1"/>
  <c r="CQ120" i="1"/>
  <c r="FK115" i="1"/>
  <c r="EY115" i="1"/>
  <c r="EY116" i="1"/>
  <c r="FZ121" i="1"/>
  <c r="CQ121" i="1"/>
  <c r="FZ137" i="1"/>
  <c r="GB137" i="1"/>
  <c r="CQ137" i="1"/>
  <c r="GB136" i="1"/>
  <c r="FZ116" i="1"/>
  <c r="FZ132" i="1"/>
  <c r="FZ142" i="1"/>
  <c r="FZ106" i="1"/>
  <c r="GB106" i="1"/>
  <c r="GB105" i="1"/>
  <c r="FZ158" i="1"/>
  <c r="GB92" i="1"/>
  <c r="GB93" i="1"/>
  <c r="GB104" i="1"/>
  <c r="FZ126" i="1"/>
  <c r="FZ110" i="1"/>
  <c r="FZ108" i="1"/>
  <c r="GB108" i="1"/>
  <c r="GB103" i="1"/>
  <c r="GB94" i="1"/>
  <c r="FZ153" i="1"/>
  <c r="GB153" i="1"/>
  <c r="GB152" i="1"/>
  <c r="FZ148" i="1"/>
  <c r="FZ107" i="1"/>
  <c r="GB107" i="1"/>
  <c r="FZ88" i="1"/>
  <c r="GA147" i="1"/>
  <c r="GA148" i="1"/>
  <c r="GA131" i="1"/>
  <c r="GA132" i="1"/>
  <c r="GA115" i="1"/>
  <c r="GA116" i="1"/>
  <c r="FZ99" i="1"/>
  <c r="FZ95" i="1"/>
  <c r="GB95" i="1"/>
  <c r="FZ97" i="1"/>
  <c r="GB97" i="1"/>
  <c r="FZ96" i="1"/>
  <c r="GB96" i="1"/>
  <c r="FZ98" i="1"/>
  <c r="FZ84" i="1"/>
  <c r="FZ85" i="1"/>
  <c r="FZ87" i="1"/>
  <c r="FZ86" i="1"/>
  <c r="GB109" i="1"/>
  <c r="GB131" i="1"/>
  <c r="GB110" i="1"/>
  <c r="GB132" i="1"/>
  <c r="GB148" i="1"/>
  <c r="GB147" i="1"/>
  <c r="GB116" i="1"/>
  <c r="GB115" i="1"/>
  <c r="O60" i="4" l="1"/>
  <c r="O62" i="4"/>
  <c r="H52" i="4"/>
  <c r="H50" i="4"/>
  <c r="H49" i="4"/>
  <c r="H47" i="4"/>
  <c r="GA142" i="1"/>
  <c r="H14" i="4"/>
  <c r="H15" i="4"/>
  <c r="H54" i="4"/>
  <c r="H56" i="4"/>
  <c r="GB84" i="1"/>
  <c r="N15" i="4"/>
  <c r="N14" i="4"/>
  <c r="GA143" i="1"/>
  <c r="GB86" i="1"/>
  <c r="N21" i="4"/>
  <c r="N20" i="4"/>
  <c r="GB157" i="1"/>
  <c r="N54" i="4"/>
  <c r="N56" i="4"/>
  <c r="H21" i="4"/>
  <c r="GA126" i="1"/>
  <c r="H39" i="4"/>
  <c r="GB122" i="1"/>
  <c r="GA127" i="1"/>
  <c r="N40" i="4" s="1"/>
  <c r="H42" i="4"/>
  <c r="GA158" i="1"/>
  <c r="H57" i="4"/>
  <c r="H59" i="4"/>
  <c r="GB141" i="1"/>
  <c r="N44" i="4"/>
  <c r="N46" i="4"/>
  <c r="GA125" i="1"/>
  <c r="N62" i="4"/>
  <c r="N60" i="4"/>
  <c r="H62" i="4"/>
  <c r="H60" i="4"/>
  <c r="H44" i="4"/>
  <c r="H46" i="4"/>
  <c r="DI97" i="1"/>
  <c r="H20" i="4" s="1"/>
  <c r="DI88" i="1"/>
  <c r="DI87" i="1"/>
  <c r="DI100" i="1"/>
  <c r="GA100" i="1" s="1"/>
  <c r="GB100" i="1" s="1"/>
  <c r="DI120" i="1"/>
  <c r="DI82" i="1"/>
  <c r="DI95" i="1"/>
  <c r="DI96" i="1"/>
  <c r="DI85" i="1"/>
  <c r="DI83" i="1"/>
  <c r="DI81" i="1"/>
  <c r="DI99" i="1"/>
  <c r="GA99" i="1" s="1"/>
  <c r="GB99" i="1" s="1"/>
  <c r="DI121" i="1"/>
  <c r="DI98" i="1"/>
  <c r="GA98" i="1" s="1"/>
  <c r="GB98" i="1" s="1"/>
  <c r="DI89" i="1"/>
  <c r="GA81" i="1" l="1"/>
  <c r="H4" i="4"/>
  <c r="H5" i="4"/>
  <c r="GA82" i="1"/>
  <c r="H8" i="4"/>
  <c r="H7" i="4"/>
  <c r="N36" i="4"/>
  <c r="GB125" i="1"/>
  <c r="O36" i="4" s="1"/>
  <c r="GB126" i="1"/>
  <c r="O39" i="4" s="1"/>
  <c r="N39" i="4"/>
  <c r="GA121" i="1"/>
  <c r="H37" i="4"/>
  <c r="GA85" i="1"/>
  <c r="H18" i="4"/>
  <c r="H17" i="4"/>
  <c r="GA120" i="1"/>
  <c r="H34" i="4"/>
  <c r="O56" i="4"/>
  <c r="O54" i="4"/>
  <c r="N50" i="4"/>
  <c r="N52" i="4"/>
  <c r="GB143" i="1"/>
  <c r="GB142" i="1"/>
  <c r="N49" i="4"/>
  <c r="N47" i="4"/>
  <c r="GB127" i="1"/>
  <c r="O42" i="4" s="1"/>
  <c r="N42" i="4"/>
  <c r="O20" i="4"/>
  <c r="O21" i="4"/>
  <c r="O15" i="4"/>
  <c r="O14" i="4"/>
  <c r="GB158" i="1"/>
  <c r="N57" i="4"/>
  <c r="N59" i="4"/>
  <c r="O40" i="4"/>
  <c r="GA83" i="1"/>
  <c r="H10" i="4"/>
  <c r="H11" i="4"/>
  <c r="GA88" i="1"/>
  <c r="H27" i="4"/>
  <c r="H28" i="4"/>
  <c r="GA89" i="1"/>
  <c r="H31" i="4"/>
  <c r="H30" i="4"/>
  <c r="GB81" i="1"/>
  <c r="N5" i="4"/>
  <c r="N4" i="4"/>
  <c r="GA87" i="1"/>
  <c r="H25" i="4"/>
  <c r="H24" i="4"/>
  <c r="O44" i="4"/>
  <c r="O46" i="4"/>
  <c r="O47" i="4" l="1"/>
  <c r="O49" i="4"/>
  <c r="GB89" i="1"/>
  <c r="N31" i="4"/>
  <c r="N30" i="4"/>
  <c r="O52" i="4"/>
  <c r="O50" i="4"/>
  <c r="GB88" i="1"/>
  <c r="N27" i="4"/>
  <c r="N28" i="4"/>
  <c r="GB121" i="1"/>
  <c r="O37" i="4" s="1"/>
  <c r="N37" i="4"/>
  <c r="O4" i="4"/>
  <c r="O5" i="4"/>
  <c r="GB85" i="1"/>
  <c r="N18" i="4"/>
  <c r="N17" i="4"/>
  <c r="GB87" i="1"/>
  <c r="N25" i="4"/>
  <c r="N24" i="4"/>
  <c r="GB83" i="1"/>
  <c r="N10" i="4"/>
  <c r="N11" i="4"/>
  <c r="O59" i="4"/>
  <c r="O57" i="4"/>
  <c r="GB120" i="1"/>
  <c r="O34" i="4" s="1"/>
  <c r="N34" i="4"/>
  <c r="GB82" i="1"/>
  <c r="N8" i="4"/>
  <c r="N7" i="4"/>
  <c r="O8" i="4" l="1"/>
  <c r="O7" i="4"/>
  <c r="O28" i="4"/>
  <c r="O27" i="4"/>
  <c r="O17" i="4"/>
  <c r="O18" i="4"/>
  <c r="O31" i="4"/>
  <c r="O30" i="4"/>
  <c r="O25" i="4"/>
  <c r="O24" i="4"/>
  <c r="O11" i="4"/>
  <c r="O10" i="4"/>
</calcChain>
</file>

<file path=xl/comments1.xml><?xml version="1.0" encoding="utf-8"?>
<comments xmlns="http://schemas.openxmlformats.org/spreadsheetml/2006/main">
  <authors>
    <author>Brett Doble</author>
  </authors>
  <commentList>
    <comment ref="E5" authorId="0" shapeId="0">
      <text>
        <r>
          <rPr>
            <b/>
            <sz val="9"/>
            <color indexed="81"/>
            <rFont val="Tahoma"/>
            <family val="2"/>
          </rPr>
          <t>1=Children; 2=Young adults; 3=Adults; 4=Elderly</t>
        </r>
      </text>
    </comment>
    <comment ref="DI22" authorId="0" shapeId="0">
      <text>
        <r>
          <rPr>
            <b/>
            <sz val="9"/>
            <color indexed="81"/>
            <rFont val="Tahoma"/>
            <family val="2"/>
          </rPr>
          <t xml:space="preserve">Includes care costs as well
</t>
        </r>
      </text>
    </comment>
    <comment ref="FH22" authorId="0" shapeId="0">
      <text>
        <r>
          <rPr>
            <b/>
            <sz val="9"/>
            <color indexed="81"/>
            <rFont val="Tahoma"/>
            <family val="2"/>
          </rPr>
          <t xml:space="preserve">Living expenses
</t>
        </r>
      </text>
    </comment>
    <comment ref="F24" authorId="0" shapeId="0">
      <text>
        <r>
          <rPr>
            <b/>
            <sz val="9"/>
            <color indexed="81"/>
            <rFont val="Tahoma"/>
            <family val="2"/>
          </rPr>
          <t>Inflated using a conservative estimate of year 2002</t>
        </r>
      </text>
    </comment>
    <comment ref="CE24" authorId="0" shapeId="0">
      <text>
        <r>
          <rPr>
            <b/>
            <sz val="9"/>
            <color indexed="81"/>
            <rFont val="Tahoma"/>
            <family val="2"/>
          </rPr>
          <t>Includes radiologu and pathology/lab services</t>
        </r>
      </text>
    </comment>
    <comment ref="B39" authorId="0" shapeId="0">
      <text>
        <r>
          <rPr>
            <b/>
            <sz val="9"/>
            <color indexed="81"/>
            <rFont val="Tahoma"/>
            <family val="2"/>
          </rPr>
          <t>Refers to ID-associated service costs in Discussion (limitations) section</t>
        </r>
      </text>
    </comment>
    <comment ref="EM39" authorId="0" shapeId="0">
      <text>
        <r>
          <rPr>
            <b/>
            <sz val="9"/>
            <color indexed="81"/>
            <rFont val="Tahoma"/>
            <family val="2"/>
          </rPr>
          <t>Includes respite care but this has been cateogized under the accomodation section.
Infalted to Dec 2013 prices using OECD services (less housing) CPI</t>
        </r>
      </text>
    </comment>
    <comment ref="CH47" authorId="0" shapeId="0">
      <text>
        <r>
          <rPr>
            <b/>
            <sz val="9"/>
            <color indexed="81"/>
            <rFont val="Tahoma"/>
            <family val="2"/>
          </rPr>
          <t>Sum of mean costs</t>
        </r>
      </text>
    </comment>
    <comment ref="CH48" authorId="0" shapeId="0">
      <text>
        <r>
          <rPr>
            <b/>
            <sz val="9"/>
            <color indexed="81"/>
            <rFont val="Tahoma"/>
            <family val="2"/>
          </rPr>
          <t>Sum of mean costs</t>
        </r>
      </text>
    </comment>
    <comment ref="DI59" authorId="0" shapeId="0">
      <text>
        <r>
          <rPr>
            <b/>
            <sz val="9"/>
            <color indexed="81"/>
            <rFont val="Tahoma"/>
            <family val="2"/>
          </rPr>
          <t xml:space="preserve">Does not include a component for capital costs
</t>
        </r>
      </text>
    </comment>
    <comment ref="DI60" authorId="0" shapeId="0">
      <text>
        <r>
          <rPr>
            <b/>
            <sz val="9"/>
            <color indexed="81"/>
            <rFont val="Tahoma"/>
            <family val="2"/>
          </rPr>
          <t>Does not include a component for capital costs</t>
        </r>
      </text>
    </comment>
    <comment ref="F62" authorId="0" shapeId="0">
      <text>
        <r>
          <rPr>
            <b/>
            <sz val="9"/>
            <color indexed="81"/>
            <rFont val="Tahoma"/>
            <family val="2"/>
          </rPr>
          <t>Inflated using a conservative estimate of year 2009</t>
        </r>
      </text>
    </comment>
    <comment ref="Q69" authorId="0" shapeId="0">
      <text>
        <r>
          <rPr>
            <b/>
            <sz val="9"/>
            <color indexed="81"/>
            <rFont val="Tahoma"/>
            <charset val="1"/>
          </rPr>
          <t>These are total healthcare costs; not included as breakdown is required.</t>
        </r>
      </text>
    </comment>
    <comment ref="EV115" authorId="0" shapeId="0">
      <text>
        <r>
          <rPr>
            <b/>
            <sz val="9"/>
            <color indexed="81"/>
            <rFont val="Tahoma"/>
            <charset val="1"/>
          </rPr>
          <t>Assume no employment support as minimum</t>
        </r>
      </text>
    </comment>
    <comment ref="EV120" authorId="0" shapeId="0">
      <text>
        <r>
          <rPr>
            <b/>
            <sz val="9"/>
            <color indexed="81"/>
            <rFont val="Tahoma"/>
            <charset val="1"/>
          </rPr>
          <t>Assume mild and moderate are employable as middle bound</t>
        </r>
      </text>
    </comment>
    <comment ref="EV122" authorId="0" shapeId="0">
      <text>
        <r>
          <rPr>
            <b/>
            <sz val="9"/>
            <color indexed="81"/>
            <rFont val="Tahoma"/>
            <charset val="1"/>
          </rPr>
          <t>Assume $0 employment support as severe/profound unable to work</t>
        </r>
      </text>
    </comment>
    <comment ref="EV125" authorId="0" shapeId="0">
      <text>
        <r>
          <rPr>
            <b/>
            <sz val="9"/>
            <color indexed="81"/>
            <rFont val="Tahoma"/>
            <charset val="1"/>
          </rPr>
          <t>Assume all severity levels receive employment support as maximum</t>
        </r>
      </text>
    </comment>
    <comment ref="DU131" authorId="0" shapeId="0">
      <text>
        <r>
          <rPr>
            <b/>
            <sz val="9"/>
            <color indexed="81"/>
            <rFont val="Tahoma"/>
            <family val="2"/>
          </rPr>
          <t>Assumed $0 cost as any education for adults would be provided through daytime activities</t>
        </r>
      </text>
    </comment>
    <comment ref="EV131" authorId="0" shapeId="0">
      <text>
        <r>
          <rPr>
            <b/>
            <sz val="9"/>
            <color indexed="81"/>
            <rFont val="Tahoma"/>
            <charset val="1"/>
          </rPr>
          <t>Assume no employment support as minimum</t>
        </r>
      </text>
    </comment>
    <comment ref="DU132" authorId="0" shapeId="0">
      <text>
        <r>
          <rPr>
            <b/>
            <sz val="9"/>
            <color indexed="81"/>
            <rFont val="Tahoma"/>
            <family val="2"/>
          </rPr>
          <t>Assumed $0 cost as any education for adults would be provided through daytime activities</t>
        </r>
      </text>
    </comment>
    <comment ref="DU133" authorId="0" shapeId="0">
      <text>
        <r>
          <rPr>
            <b/>
            <sz val="9"/>
            <color indexed="81"/>
            <rFont val="Tahoma"/>
            <family val="2"/>
          </rPr>
          <t>Assumed $0 cost as any education for adults would be provided through daytime activities</t>
        </r>
      </text>
    </comment>
    <comment ref="EV136" authorId="0" shapeId="0">
      <text>
        <r>
          <rPr>
            <b/>
            <sz val="9"/>
            <color indexed="81"/>
            <rFont val="Tahoma"/>
            <charset val="1"/>
          </rPr>
          <t>Assume mild and moderate are employable as middle bound</t>
        </r>
      </text>
    </comment>
    <comment ref="EV138" authorId="0" shapeId="0">
      <text>
        <r>
          <rPr>
            <b/>
            <sz val="9"/>
            <color indexed="81"/>
            <rFont val="Tahoma"/>
            <charset val="1"/>
          </rPr>
          <t>Assume $0 employment support as severe/profound unable to work</t>
        </r>
      </text>
    </comment>
    <comment ref="EV141" authorId="0" shapeId="0">
      <text>
        <r>
          <rPr>
            <b/>
            <sz val="9"/>
            <color indexed="81"/>
            <rFont val="Tahoma"/>
            <charset val="1"/>
          </rPr>
          <t>Assume all severity levels receive employment support as maximum</t>
        </r>
      </text>
    </comment>
    <comment ref="DU147" authorId="0" shapeId="0">
      <text>
        <r>
          <rPr>
            <b/>
            <sz val="9"/>
            <color indexed="81"/>
            <rFont val="Tahoma"/>
            <family val="2"/>
          </rPr>
          <t>Assumed $0 cost as any education for elderly adults would be provided through daytime activities</t>
        </r>
      </text>
    </comment>
    <comment ref="EV147" authorId="0" shapeId="0">
      <text>
        <r>
          <rPr>
            <b/>
            <sz val="9"/>
            <color indexed="81"/>
            <rFont val="Tahoma"/>
            <family val="2"/>
          </rPr>
          <t>Assume $0 costs as assume retired</t>
        </r>
      </text>
    </comment>
    <comment ref="FQ147" authorId="0" shapeId="0">
      <text>
        <r>
          <rPr>
            <b/>
            <sz val="9"/>
            <color indexed="81"/>
            <rFont val="Tahoma"/>
            <family val="2"/>
          </rPr>
          <t>Assume $0 costs as assume retired</t>
        </r>
      </text>
    </comment>
    <comment ref="DU148" authorId="0" shapeId="0">
      <text>
        <r>
          <rPr>
            <b/>
            <sz val="9"/>
            <color indexed="81"/>
            <rFont val="Tahoma"/>
            <family val="2"/>
          </rPr>
          <t>Assumed $0 cost as any education for elderly adults would be provided through daytime activities</t>
        </r>
      </text>
    </comment>
    <comment ref="EV148" authorId="0" shapeId="0">
      <text>
        <r>
          <rPr>
            <b/>
            <sz val="9"/>
            <color indexed="81"/>
            <rFont val="Tahoma"/>
            <family val="2"/>
          </rPr>
          <t>Assume $0 costs as assume retired</t>
        </r>
      </text>
    </comment>
    <comment ref="FQ148" authorId="0" shapeId="0">
      <text>
        <r>
          <rPr>
            <b/>
            <sz val="9"/>
            <color indexed="81"/>
            <rFont val="Tahoma"/>
            <family val="2"/>
          </rPr>
          <t>Assume $0 costs as assume retired</t>
        </r>
      </text>
    </comment>
    <comment ref="DU149" authorId="0" shapeId="0">
      <text>
        <r>
          <rPr>
            <b/>
            <sz val="9"/>
            <color indexed="81"/>
            <rFont val="Tahoma"/>
            <family val="2"/>
          </rPr>
          <t>Assumed $0 cost as any education for elderly adults would be provided through daytime activities</t>
        </r>
      </text>
    </comment>
    <comment ref="EV149" authorId="0" shapeId="0">
      <text>
        <r>
          <rPr>
            <b/>
            <sz val="9"/>
            <color indexed="81"/>
            <rFont val="Tahoma"/>
            <family val="2"/>
          </rPr>
          <t>Assume $0 costs as assume retired</t>
        </r>
      </text>
    </comment>
    <comment ref="FQ149" authorId="0" shapeId="0">
      <text>
        <r>
          <rPr>
            <b/>
            <sz val="9"/>
            <color indexed="81"/>
            <rFont val="Tahoma"/>
            <family val="2"/>
          </rPr>
          <t>Assume $0 costs as assume retired</t>
        </r>
      </text>
    </comment>
  </commentList>
</comments>
</file>

<file path=xl/comments2.xml><?xml version="1.0" encoding="utf-8"?>
<comments xmlns="http://schemas.openxmlformats.org/spreadsheetml/2006/main">
  <authors>
    <author>Brett Doble</author>
  </authors>
  <commentList>
    <comment ref="E5" authorId="0" shapeId="0">
      <text>
        <r>
          <rPr>
            <b/>
            <sz val="9"/>
            <color indexed="81"/>
            <rFont val="Tahoma"/>
            <family val="2"/>
          </rPr>
          <t>1=Children; 2=Young adults; 3=Adults; 4=Elderly</t>
        </r>
      </text>
    </comment>
    <comment ref="CH6" authorId="0" shapeId="0">
      <text>
        <r>
          <rPr>
            <b/>
            <sz val="9"/>
            <color indexed="81"/>
            <rFont val="Tahoma"/>
            <family val="2"/>
          </rPr>
          <t xml:space="preserve">Sum of mean social worker costs and mean community health services costs
</t>
        </r>
      </text>
    </comment>
    <comment ref="CN6" authorId="0" shapeId="0">
      <text>
        <r>
          <rPr>
            <b/>
            <sz val="9"/>
            <color indexed="81"/>
            <rFont val="Tahoma"/>
            <family val="2"/>
          </rPr>
          <t>Equipment costs paid by NHS</t>
        </r>
      </text>
    </comment>
    <comment ref="EA6" authorId="0" shapeId="0">
      <text>
        <r>
          <rPr>
            <b/>
            <sz val="9"/>
            <color indexed="81"/>
            <rFont val="Tahoma"/>
            <family val="2"/>
          </rPr>
          <t>Excludes basic cost of school place (only excess costs)
Inflated to Dec 2013 prices using OECD services (less housing) CPI</t>
        </r>
      </text>
    </comment>
    <comment ref="FN6" authorId="0" shapeId="0">
      <text>
        <r>
          <rPr>
            <b/>
            <sz val="9"/>
            <color indexed="81"/>
            <rFont val="Tahoma"/>
            <family val="2"/>
          </rPr>
          <t>Calculated as difference in equipment costs paid for by the NHS alone and equipment costs paid for by NHS and parents together
Inflated to Dec 2013 prices using OECD all items CPI</t>
        </r>
      </text>
    </comment>
    <comment ref="CH7" authorId="0" shapeId="0">
      <text>
        <r>
          <rPr>
            <b/>
            <sz val="9"/>
            <color indexed="81"/>
            <rFont val="Tahoma"/>
            <family val="2"/>
          </rPr>
          <t>Sum of mean community health services costs, mean primary care services and mean social services costs</t>
        </r>
      </text>
    </comment>
    <comment ref="CN7" authorId="0" shapeId="0">
      <text>
        <r>
          <rPr>
            <b/>
            <sz val="9"/>
            <color indexed="81"/>
            <rFont val="Tahoma"/>
            <family val="2"/>
          </rPr>
          <t>Sum of equipment costs and disposable equipment costs</t>
        </r>
      </text>
    </comment>
    <comment ref="EA7" authorId="0" shapeId="0">
      <text>
        <r>
          <rPr>
            <b/>
            <sz val="9"/>
            <color indexed="81"/>
            <rFont val="Tahoma"/>
            <family val="2"/>
          </rPr>
          <t>Excludes basic cost of school place (only excess costs)</t>
        </r>
      </text>
    </comment>
    <comment ref="FN7" authorId="0" shapeId="0">
      <text>
        <r>
          <rPr>
            <b/>
            <sz val="9"/>
            <color indexed="81"/>
            <rFont val="Tahoma"/>
            <family val="2"/>
          </rPr>
          <t>Calculated as difference in equipment costs paid for by the NHS alone and equipment costs paid for by NHS and parents together</t>
        </r>
      </text>
    </comment>
    <comment ref="H9" authorId="0" shapeId="0">
      <text>
        <r>
          <rPr>
            <b/>
            <sz val="9"/>
            <color indexed="81"/>
            <rFont val="Tahoma"/>
            <family val="2"/>
          </rPr>
          <t xml:space="preserve">Attributable expenditures
</t>
        </r>
      </text>
    </comment>
    <comment ref="K9" authorId="0" shapeId="0">
      <text>
        <r>
          <rPr>
            <b/>
            <sz val="9"/>
            <color indexed="81"/>
            <rFont val="Tahoma"/>
            <family val="2"/>
          </rPr>
          <t>Attributable expenditures</t>
        </r>
      </text>
    </comment>
    <comment ref="CK9" authorId="0" shapeId="0">
      <text>
        <r>
          <rPr>
            <b/>
            <sz val="9"/>
            <color indexed="81"/>
            <rFont val="Tahoma"/>
            <family val="2"/>
          </rPr>
          <t xml:space="preserve">Attributable expenditures
</t>
        </r>
      </text>
    </comment>
    <comment ref="EV14" authorId="0" shapeId="0">
      <text>
        <r>
          <rPr>
            <b/>
            <sz val="9"/>
            <color indexed="81"/>
            <rFont val="Tahoma"/>
            <family val="2"/>
          </rPr>
          <t>Just a general average of government financial assistance to families was given and is not specific to the two different locations of care
Inflated to 2013 wages by using ratio of average gross monthly wages in Ireland for 2013 and 2008 http://w3.unece.org/pxweb/dialog/varval.asp?ma=60_MECCWagesY_r&amp;path=../database/STAT/20-ME/3-MELF/&amp;lang=1&amp;ti=Gross+Average+Monthly+Wages+by+Country+and+Year</t>
        </r>
      </text>
    </comment>
    <comment ref="EV15" authorId="0" shapeId="0">
      <text>
        <r>
          <rPr>
            <b/>
            <sz val="9"/>
            <color indexed="81"/>
            <rFont val="Tahoma"/>
            <family val="2"/>
          </rPr>
          <t>Just a general average of government financial assistance to families was given and is not specific to the two different locations of care</t>
        </r>
      </text>
    </comment>
    <comment ref="D17" authorId="0" shapeId="0">
      <text>
        <r>
          <rPr>
            <b/>
            <sz val="9"/>
            <color indexed="81"/>
            <rFont val="Tahoma"/>
            <family val="2"/>
          </rPr>
          <t>Costs are specific to disability only (in excess of base costs)</t>
        </r>
      </text>
    </comment>
    <comment ref="CH17" authorId="0" shapeId="0">
      <text>
        <r>
          <rPr>
            <b/>
            <sz val="9"/>
            <color indexed="81"/>
            <rFont val="Tahoma"/>
            <family val="2"/>
          </rPr>
          <t xml:space="preserve">Sum of mean cost of community health services and mean cost of primary care services and mean cost of social care services
</t>
        </r>
      </text>
    </comment>
    <comment ref="F24" authorId="0" shapeId="0">
      <text>
        <r>
          <rPr>
            <b/>
            <sz val="9"/>
            <color indexed="81"/>
            <rFont val="Tahoma"/>
            <family val="2"/>
          </rPr>
          <t>Data were inflated based on 2008 indexs to be conservative</t>
        </r>
      </text>
    </comment>
    <comment ref="H24" authorId="0" shapeId="0">
      <text>
        <r>
          <rPr>
            <b/>
            <sz val="9"/>
            <color indexed="81"/>
            <rFont val="Tahoma"/>
            <family val="2"/>
          </rPr>
          <t xml:space="preserve">Median and standard error for patients who used services (excludes patients not using services)
</t>
        </r>
      </text>
    </comment>
    <comment ref="K24" authorId="0" shapeId="0">
      <text>
        <r>
          <rPr>
            <b/>
            <sz val="9"/>
            <color indexed="81"/>
            <rFont val="Tahoma"/>
            <family val="2"/>
          </rPr>
          <t>Median and standard error for patients who used services (excludes patients not using services)</t>
        </r>
      </text>
    </comment>
    <comment ref="N24" authorId="0" shapeId="0">
      <text>
        <r>
          <rPr>
            <b/>
            <sz val="9"/>
            <color indexed="81"/>
            <rFont val="Tahoma"/>
            <family val="2"/>
          </rPr>
          <t>Median and standard error for patients who used services (excludes patients not using services)</t>
        </r>
      </text>
    </comment>
    <comment ref="CK24" authorId="0" shapeId="0">
      <text>
        <r>
          <rPr>
            <b/>
            <sz val="9"/>
            <color indexed="81"/>
            <rFont val="Tahoma"/>
            <family val="2"/>
          </rPr>
          <t xml:space="preserve">Median and standard error for patients who used services (excludes patients not using services)
</t>
        </r>
      </text>
    </comment>
    <comment ref="FN26" authorId="0" shapeId="0">
      <text>
        <r>
          <rPr>
            <b/>
            <sz val="9"/>
            <color indexed="81"/>
            <rFont val="Tahoma"/>
            <family val="2"/>
          </rPr>
          <t xml:space="preserve">Extra expenditure due to disability of child
</t>
        </r>
      </text>
    </comment>
    <comment ref="B28" authorId="0" shapeId="0">
      <text>
        <r>
          <rPr>
            <b/>
            <sz val="9"/>
            <color indexed="81"/>
            <rFont val="Tahoma"/>
            <family val="2"/>
          </rPr>
          <t>Data taken from Frisch 2001 which summarizes data for Walsh 1999 (no access to this report)</t>
        </r>
      </text>
    </comment>
    <comment ref="F28" authorId="0" shapeId="0">
      <text>
        <r>
          <rPr>
            <b/>
            <sz val="9"/>
            <color indexed="81"/>
            <rFont val="Tahoma"/>
            <family val="2"/>
          </rPr>
          <t>Assumed to be 1998 based on year initial report was published (1999)</t>
        </r>
      </text>
    </comment>
    <comment ref="CH28" authorId="0" shapeId="0">
      <text>
        <r>
          <rPr>
            <b/>
            <sz val="9"/>
            <color indexed="81"/>
            <rFont val="Tahoma"/>
            <family val="2"/>
          </rPr>
          <t>Mean health costs for patients with non-zero costs</t>
        </r>
      </text>
    </comment>
    <comment ref="CK28" authorId="0" shapeId="0">
      <text>
        <r>
          <rPr>
            <b/>
            <sz val="9"/>
            <color indexed="81"/>
            <rFont val="Tahoma"/>
            <family val="2"/>
          </rPr>
          <t>Sum of mean cost of uncapped prescriptions and mean costs of capped prescriptions for patients with non-zero costs</t>
        </r>
      </text>
    </comment>
    <comment ref="CN28" authorId="0" shapeId="0">
      <text>
        <r>
          <rPr>
            <b/>
            <sz val="9"/>
            <color indexed="81"/>
            <rFont val="Tahoma"/>
            <family val="2"/>
          </rPr>
          <t>Sum of mean consumables costs and mean of aids/appliances costs for patients with non-zero costs</t>
        </r>
      </text>
    </comment>
    <comment ref="DL28" authorId="0" shapeId="0">
      <text>
        <r>
          <rPr>
            <b/>
            <sz val="9"/>
            <color indexed="81"/>
            <rFont val="Tahoma"/>
            <family val="2"/>
          </rPr>
          <t>Sum of mean housing modification costs and mean furniture costs for patients with non-zero costs</t>
        </r>
      </text>
    </comment>
    <comment ref="FK28" authorId="0" shapeId="0">
      <text>
        <r>
          <rPr>
            <b/>
            <sz val="9"/>
            <color indexed="81"/>
            <rFont val="Tahoma"/>
            <family val="2"/>
          </rPr>
          <t>Sum of mean care costs and mean home task costs for patients with non-zero costs</t>
        </r>
      </text>
    </comment>
    <comment ref="FN28" authorId="0" shapeId="0">
      <text>
        <r>
          <rPr>
            <b/>
            <sz val="9"/>
            <color indexed="81"/>
            <rFont val="Tahoma"/>
            <family val="2"/>
          </rPr>
          <t>Mean extra costs for patients with non-zero costs</t>
        </r>
      </text>
    </comment>
    <comment ref="FQ28" authorId="0" shapeId="0">
      <text>
        <r>
          <rPr>
            <b/>
            <sz val="9"/>
            <color indexed="81"/>
            <rFont val="Tahoma"/>
            <family val="2"/>
          </rPr>
          <t>For patients with non-zero costs</t>
        </r>
      </text>
    </comment>
    <comment ref="B30" authorId="0" shapeId="0">
      <text>
        <r>
          <rPr>
            <b/>
            <sz val="9"/>
            <color indexed="81"/>
            <rFont val="Tahoma"/>
            <family val="2"/>
          </rPr>
          <t>Data taken from Frisch 2001 which summarizes data for Huges 1999 (no access to this report)</t>
        </r>
      </text>
    </comment>
    <comment ref="F30" authorId="0" shapeId="0">
      <text>
        <r>
          <rPr>
            <b/>
            <sz val="9"/>
            <color indexed="81"/>
            <rFont val="Tahoma"/>
            <family val="2"/>
          </rPr>
          <t>Assumed to be 1998 based on year initial report was published (1999)</t>
        </r>
      </text>
    </comment>
    <comment ref="BS30" authorId="0" shapeId="0">
      <text>
        <r>
          <rPr>
            <b/>
            <sz val="9"/>
            <color indexed="81"/>
            <rFont val="Tahoma"/>
            <family val="2"/>
          </rPr>
          <t>Median community nursing/home care costs for patients with non-zero costs</t>
        </r>
      </text>
    </comment>
    <comment ref="CK30" authorId="0" shapeId="0">
      <text>
        <r>
          <rPr>
            <b/>
            <sz val="9"/>
            <color indexed="81"/>
            <rFont val="Tahoma"/>
            <family val="2"/>
          </rPr>
          <t>Sum of median medical/therapy costs and median other medical/pharmaceutical costs for patients with non-zero costs</t>
        </r>
      </text>
    </comment>
    <comment ref="CN30" authorId="0" shapeId="0">
      <text>
        <r>
          <rPr>
            <b/>
            <sz val="9"/>
            <color indexed="81"/>
            <rFont val="Tahoma"/>
            <family val="2"/>
          </rPr>
          <t>Median physical aid costs for patients with non-zero costs</t>
        </r>
      </text>
    </comment>
    <comment ref="DL30" authorId="0" shapeId="0">
      <text>
        <r>
          <rPr>
            <b/>
            <sz val="9"/>
            <color indexed="81"/>
            <rFont val="Tahoma"/>
            <family val="2"/>
          </rPr>
          <t>Median housing maintenance costs for patients with non-zero costs</t>
        </r>
      </text>
    </comment>
    <comment ref="FK30" authorId="0" shapeId="0">
      <text>
        <r>
          <rPr>
            <b/>
            <sz val="9"/>
            <color indexed="81"/>
            <rFont val="Tahoma"/>
            <family val="2"/>
          </rPr>
          <t>Median personal care costs for patients with non-zero costs</t>
        </r>
      </text>
    </comment>
    <comment ref="FQ30" authorId="0" shapeId="0">
      <text>
        <r>
          <rPr>
            <b/>
            <sz val="9"/>
            <color indexed="81"/>
            <rFont val="Tahoma"/>
            <family val="2"/>
          </rPr>
          <t>Median transport costs for patients with non-zero costs</t>
        </r>
      </text>
    </comment>
    <comment ref="EA48" authorId="0" shapeId="0">
      <text>
        <r>
          <rPr>
            <b/>
            <sz val="9"/>
            <color indexed="81"/>
            <rFont val="Tahoma"/>
            <family val="2"/>
          </rPr>
          <t xml:space="preserve">Assume $0 costs of education as low estimate
</t>
        </r>
      </text>
    </comment>
    <comment ref="ES48" authorId="0" shapeId="0">
      <text>
        <r>
          <rPr>
            <b/>
            <sz val="9"/>
            <color indexed="81"/>
            <rFont val="Tahoma"/>
            <family val="2"/>
          </rPr>
          <t>Assume $0 daytime activity costs for working individuals for low estimate</t>
        </r>
      </text>
    </comment>
    <comment ref="FK48" authorId="0" shapeId="0">
      <text>
        <r>
          <rPr>
            <b/>
            <sz val="9"/>
            <color indexed="81"/>
            <rFont val="Tahoma"/>
            <family val="2"/>
          </rPr>
          <t>Assume $0 costs of external care as low estimate</t>
        </r>
      </text>
    </comment>
    <comment ref="FN48" authorId="0" shapeId="0">
      <text>
        <r>
          <rPr>
            <b/>
            <sz val="9"/>
            <color indexed="81"/>
            <rFont val="Tahoma"/>
            <family val="2"/>
          </rPr>
          <t>Assume $0 out of pocket costs as low estimate</t>
        </r>
      </text>
    </comment>
    <comment ref="FQ48" authorId="0" shapeId="0">
      <text>
        <r>
          <rPr>
            <b/>
            <sz val="9"/>
            <color indexed="81"/>
            <rFont val="Tahoma"/>
            <family val="2"/>
          </rPr>
          <t>Assume $0 costs of travel as low estimate</t>
        </r>
      </text>
    </comment>
    <comment ref="FW48" authorId="0" shapeId="0">
      <text>
        <r>
          <rPr>
            <b/>
            <sz val="9"/>
            <color indexed="81"/>
            <rFont val="Tahoma"/>
            <family val="2"/>
          </rPr>
          <t>Assume $0 carer loss of productivity for low estimate</t>
        </r>
      </text>
    </comment>
    <comment ref="EA52" authorId="0" shapeId="0">
      <text>
        <r>
          <rPr>
            <b/>
            <sz val="9"/>
            <color indexed="81"/>
            <rFont val="Tahoma"/>
            <family val="2"/>
          </rPr>
          <t>Assume $0 costs of education for working individuals</t>
        </r>
      </text>
    </comment>
    <comment ref="ES52" authorId="0" shapeId="0">
      <text>
        <r>
          <rPr>
            <b/>
            <sz val="9"/>
            <color indexed="81"/>
            <rFont val="Tahoma"/>
            <family val="2"/>
          </rPr>
          <t>Assume only adult education costs for working individuals for middle estimate</t>
        </r>
      </text>
    </comment>
    <comment ref="FW52" authorId="0" shapeId="0">
      <text>
        <r>
          <rPr>
            <b/>
            <sz val="9"/>
            <color indexed="81"/>
            <rFont val="Tahoma"/>
            <family val="2"/>
          </rPr>
          <t>Assume $0 carer loss of productivity for working individual</t>
        </r>
      </text>
    </comment>
    <comment ref="EA56" authorId="0" shapeId="0">
      <text>
        <r>
          <rPr>
            <b/>
            <sz val="9"/>
            <color indexed="81"/>
            <rFont val="Tahoma"/>
            <family val="2"/>
          </rPr>
          <t>Assume $0 costs of education for working individuals</t>
        </r>
      </text>
    </comment>
    <comment ref="ES56" authorId="0" shapeId="0">
      <text>
        <r>
          <rPr>
            <b/>
            <sz val="9"/>
            <color indexed="81"/>
            <rFont val="Tahoma"/>
            <family val="2"/>
          </rPr>
          <t>Assume same daytime costs for working individual as unemployed individual</t>
        </r>
      </text>
    </comment>
    <comment ref="FW56" authorId="0" shapeId="0">
      <text>
        <r>
          <rPr>
            <b/>
            <sz val="9"/>
            <color indexed="81"/>
            <rFont val="Tahoma"/>
            <family val="2"/>
          </rPr>
          <t>Assume $0 carer loss of productivity for working individual</t>
        </r>
      </text>
    </comment>
    <comment ref="CH61" authorId="0" shapeId="0">
      <text>
        <r>
          <rPr>
            <b/>
            <sz val="9"/>
            <color indexed="81"/>
            <rFont val="Tahoma"/>
            <family val="2"/>
          </rPr>
          <t>Assume $0 community services costs for low estimate</t>
        </r>
      </text>
    </comment>
    <comment ref="EA61" authorId="0" shapeId="0">
      <text>
        <r>
          <rPr>
            <b/>
            <sz val="9"/>
            <color indexed="81"/>
            <rFont val="Tahoma"/>
            <family val="2"/>
          </rPr>
          <t xml:space="preserve">Assume $0 costs of education as low estimate
</t>
        </r>
      </text>
    </comment>
    <comment ref="ES61" authorId="0" shapeId="0">
      <text>
        <r>
          <rPr>
            <b/>
            <sz val="9"/>
            <color indexed="81"/>
            <rFont val="Tahoma"/>
            <family val="2"/>
          </rPr>
          <t>Assume $0 daytime activity costs for working individuals for low estimate</t>
        </r>
      </text>
    </comment>
    <comment ref="FK61" authorId="0" shapeId="0">
      <text>
        <r>
          <rPr>
            <b/>
            <sz val="9"/>
            <color indexed="81"/>
            <rFont val="Tahoma"/>
            <family val="2"/>
          </rPr>
          <t>Assume $0 costs of external care as low estimate</t>
        </r>
      </text>
    </comment>
    <comment ref="FN61" authorId="0" shapeId="0">
      <text>
        <r>
          <rPr>
            <b/>
            <sz val="9"/>
            <color indexed="81"/>
            <rFont val="Tahoma"/>
            <family val="2"/>
          </rPr>
          <t>Assume $0 out of pocket costs as low estimate</t>
        </r>
      </text>
    </comment>
    <comment ref="FQ61" authorId="0" shapeId="0">
      <text>
        <r>
          <rPr>
            <b/>
            <sz val="9"/>
            <color indexed="81"/>
            <rFont val="Tahoma"/>
            <family val="2"/>
          </rPr>
          <t>Assume $0 costs of travel as low estimate</t>
        </r>
      </text>
    </comment>
    <comment ref="FW61" authorId="0" shapeId="0">
      <text>
        <r>
          <rPr>
            <b/>
            <sz val="9"/>
            <color indexed="81"/>
            <rFont val="Tahoma"/>
            <family val="2"/>
          </rPr>
          <t>Assume $0 carer loss of productivity for low estimate</t>
        </r>
      </text>
    </comment>
    <comment ref="EA65" authorId="0" shapeId="0">
      <text>
        <r>
          <rPr>
            <b/>
            <sz val="9"/>
            <color indexed="81"/>
            <rFont val="Tahoma"/>
            <family val="2"/>
          </rPr>
          <t xml:space="preserve">Assume $0 costs of education as adult
</t>
        </r>
      </text>
    </comment>
    <comment ref="ES65" authorId="0" shapeId="0">
      <text>
        <r>
          <rPr>
            <b/>
            <sz val="9"/>
            <color indexed="81"/>
            <rFont val="Tahoma"/>
            <family val="2"/>
          </rPr>
          <t>Assume only adult education costs for working individuals for middle estimate</t>
        </r>
      </text>
    </comment>
    <comment ref="FW65" authorId="0" shapeId="0">
      <text>
        <r>
          <rPr>
            <b/>
            <sz val="9"/>
            <color indexed="81"/>
            <rFont val="Tahoma"/>
            <family val="2"/>
          </rPr>
          <t>Assume $0 carer loss of productivity for working individual</t>
        </r>
      </text>
    </comment>
    <comment ref="EA69" authorId="0" shapeId="0">
      <text>
        <r>
          <rPr>
            <b/>
            <sz val="9"/>
            <color indexed="81"/>
            <rFont val="Tahoma"/>
            <family val="2"/>
          </rPr>
          <t xml:space="preserve">Assume $0 costs of education as adult
</t>
        </r>
      </text>
    </comment>
    <comment ref="ES69" authorId="0" shapeId="0">
      <text>
        <r>
          <rPr>
            <b/>
            <sz val="9"/>
            <color indexed="81"/>
            <rFont val="Tahoma"/>
            <family val="2"/>
          </rPr>
          <t>Assume same daytime costs for working individual as unemployed individual</t>
        </r>
      </text>
    </comment>
    <comment ref="FW69" authorId="0" shapeId="0">
      <text>
        <r>
          <rPr>
            <b/>
            <sz val="9"/>
            <color indexed="81"/>
            <rFont val="Tahoma"/>
            <family val="2"/>
          </rPr>
          <t>Assume $0 carer loss of productivity for working individual</t>
        </r>
      </text>
    </comment>
  </commentList>
</comments>
</file>

<file path=xl/sharedStrings.xml><?xml version="1.0" encoding="utf-8"?>
<sst xmlns="http://schemas.openxmlformats.org/spreadsheetml/2006/main" count="897" uniqueCount="285">
  <si>
    <t>4 to 11</t>
  </si>
  <si>
    <t>0 to 3</t>
  </si>
  <si>
    <t>12 to 17</t>
  </si>
  <si>
    <t>18+ (adult)</t>
  </si>
  <si>
    <t>Study Details</t>
  </si>
  <si>
    <t>Outpatient</t>
  </si>
  <si>
    <t>Inpatient</t>
  </si>
  <si>
    <t>Benefit payments</t>
  </si>
  <si>
    <t>Police</t>
  </si>
  <si>
    <t>Respite care</t>
  </si>
  <si>
    <t>Informal care</t>
  </si>
  <si>
    <t>External care</t>
  </si>
  <si>
    <t>USD</t>
  </si>
  <si>
    <t>AUD</t>
  </si>
  <si>
    <t>GPB</t>
  </si>
  <si>
    <t>Doran CM 
Jounral of Intellectual &amp; Developmental Disability 2012;37:42</t>
  </si>
  <si>
    <t>Disability support services</t>
  </si>
  <si>
    <t>Mild</t>
  </si>
  <si>
    <t>Moderate</t>
  </si>
  <si>
    <t>Severe/profound</t>
  </si>
  <si>
    <t>Unknown</t>
  </si>
  <si>
    <t>Out-of-pocket</t>
  </si>
  <si>
    <t>Age/Severity Group</t>
  </si>
  <si>
    <t>Challenging behaviour</t>
  </si>
  <si>
    <t>No challenging behaviour</t>
  </si>
  <si>
    <t>McGill P 
Journal of Applied Research in Intellectual Disabilities 2012;25:584</t>
  </si>
  <si>
    <t>Mild/moderate</t>
  </si>
  <si>
    <t>Not mild/moderate</t>
  </si>
  <si>
    <t>In hospital</t>
  </si>
  <si>
    <t>Not in hospital</t>
  </si>
  <si>
    <t>Had a specific syndrome</t>
  </si>
  <si>
    <t>Did not have a specific syndrome</t>
  </si>
  <si>
    <t>16 to 18 
(41% mild; 41% moderate; 18% severe) with challenging behaviour</t>
  </si>
  <si>
    <t>Barron DA 
Health &amp; Social Care in the Community 2013;21:283</t>
  </si>
  <si>
    <t>SD</t>
  </si>
  <si>
    <t>Currency Year</t>
  </si>
  <si>
    <t>Emergency</t>
  </si>
  <si>
    <t>Total hospital services</t>
  </si>
  <si>
    <t>GP Services</t>
  </si>
  <si>
    <t>Psychiatrist</t>
  </si>
  <si>
    <t>Psychologist</t>
  </si>
  <si>
    <t>Psych nurse</t>
  </si>
  <si>
    <t>ID nurse</t>
  </si>
  <si>
    <t>Other nurse</t>
  </si>
  <si>
    <t>Speech therapist</t>
  </si>
  <si>
    <t>Chiropodist</t>
  </si>
  <si>
    <t>OT</t>
  </si>
  <si>
    <t>Alternative therapist</t>
  </si>
  <si>
    <t>Art therapist</t>
  </si>
  <si>
    <t>Social woker</t>
  </si>
  <si>
    <t>Counsellor</t>
  </si>
  <si>
    <t>Dentist</t>
  </si>
  <si>
    <t>Optician</t>
  </si>
  <si>
    <t>Home care</t>
  </si>
  <si>
    <t>Other services</t>
  </si>
  <si>
    <t>Total community services</t>
  </si>
  <si>
    <t>Total Education</t>
  </si>
  <si>
    <t>Special needs school</t>
  </si>
  <si>
    <t>Residential school</t>
  </si>
  <si>
    <t>Mainstream school</t>
  </si>
  <si>
    <t>Education Costs</t>
  </si>
  <si>
    <t>SOCIAL COSTS (PER YEAR)</t>
  </si>
  <si>
    <t>Hospital Costs</t>
  </si>
  <si>
    <t>HEALTH CARE COSTS (PER YEAR)</t>
  </si>
  <si>
    <t>Community Services Costs</t>
  </si>
  <si>
    <t>Daytime Activities Costs</t>
  </si>
  <si>
    <t>Day centre</t>
  </si>
  <si>
    <t>Social club</t>
  </si>
  <si>
    <t>Drop in centre</t>
  </si>
  <si>
    <t>Adult education</t>
  </si>
  <si>
    <t>Total daytime activity</t>
  </si>
  <si>
    <t>Accomodation Costs</t>
  </si>
  <si>
    <t>Justice Costs</t>
  </si>
  <si>
    <t>Knapp M
Autism
2009;13:317</t>
  </si>
  <si>
    <t>Total Accomodation</t>
  </si>
  <si>
    <t>Private house</t>
  </si>
  <si>
    <t>Supported Living</t>
  </si>
  <si>
    <t>Residential care</t>
  </si>
  <si>
    <t>Hospital</t>
  </si>
  <si>
    <t>NR</t>
  </si>
  <si>
    <t>Treatment Costs</t>
  </si>
  <si>
    <t>Treatments/medication</t>
  </si>
  <si>
    <t>Carer Costs</t>
  </si>
  <si>
    <t>Individual LOP</t>
  </si>
  <si>
    <t>Loss of Productivity</t>
  </si>
  <si>
    <t>Income Support</t>
  </si>
  <si>
    <t>Empolyment support</t>
  </si>
  <si>
    <t>Strydom A
The British Journal of Psychiatry
2010;196:133</t>
  </si>
  <si>
    <t>&gt;60 (mean age 69) 
(55% mild; 32% moderate; 13% severe)</t>
  </si>
  <si>
    <t>Physiotherapist</t>
  </si>
  <si>
    <t>Dietician</t>
  </si>
  <si>
    <t>Voluntary worker</t>
  </si>
  <si>
    <t>Befriender</t>
  </si>
  <si>
    <t>Meals on wheels</t>
  </si>
  <si>
    <t>Felce D
American Journal on Mental Retardation
2008;113(2):87</t>
  </si>
  <si>
    <t>Adults with relatively low support
needs living in fully staffed group homes</t>
  </si>
  <si>
    <t>Adults with relatively low support
needs living in semi-independent living</t>
  </si>
  <si>
    <t>Robertson J
American Journal on Mental Retardation
2006;11:400</t>
  </si>
  <si>
    <t>Adults wide range of ID before
implementing person-centred planning</t>
  </si>
  <si>
    <t>Adults wide range of ID after
implementing person-centred planning</t>
  </si>
  <si>
    <t xml:space="preserve">50 adult participants with ID who received a health-check intervention </t>
  </si>
  <si>
    <t xml:space="preserve">50 adult participants with ID who received standard care </t>
  </si>
  <si>
    <t>Romeo R
Journal of Intellectual Disability Research
2009;53:426</t>
  </si>
  <si>
    <t>Aids/adaptations</t>
  </si>
  <si>
    <t>Hallam A
Journal of Intellectual Disability Research
2002;46(5):394</t>
  </si>
  <si>
    <t>Adults living in village communities
(least disabled)</t>
  </si>
  <si>
    <t>Adults living in dispersed housing
(most disabled)</t>
  </si>
  <si>
    <t>Adults living in residential campuses
(middle disabled)</t>
  </si>
  <si>
    <t>Adults living in dispersed housing
(severe ID)</t>
  </si>
  <si>
    <t>Adults living in residential campuses
(severe ID)</t>
  </si>
  <si>
    <t>Emerson E
Journal of Intellectual and Development Disability
2000;25(4):263</t>
  </si>
  <si>
    <t>Knapp M
Health and Social Care in the Community
2005;13:297</t>
  </si>
  <si>
    <t>Other day care</t>
  </si>
  <si>
    <t>Adults with ID and challenging
behaviour (individual items are average for users; totals are averages for sample)</t>
  </si>
  <si>
    <t>Young adults (mean age 26.7); (66% mild; 18.7 moderate; 9.3% severe; 6.0% profound)</t>
  </si>
  <si>
    <t>Kang T
Disability and Health Journal
2008;1:30</t>
  </si>
  <si>
    <t>Children aged 3–17 years with a diagnosis of Pervasive Development Disorders</t>
  </si>
  <si>
    <t>Flanders SC
Administration and Policy in Mental Health
2007;34:213</t>
  </si>
  <si>
    <t>(1996-2002)</t>
  </si>
  <si>
    <t>Severe ID and challenging behaviour
(mean age 32 years)</t>
  </si>
  <si>
    <t>Felce D
Journal of Intellectual Disability Research
1998;42(5):390</t>
  </si>
  <si>
    <t>Overall mean age 33 years</t>
  </si>
  <si>
    <t>Overall aged 1 to 38 years</t>
  </si>
  <si>
    <t>Grouping</t>
  </si>
  <si>
    <t>Young adult severe/profound</t>
  </si>
  <si>
    <t>Adult mild</t>
  </si>
  <si>
    <t>Adult moderate</t>
  </si>
  <si>
    <t>Young adult moderate</t>
  </si>
  <si>
    <t>Young adult mild</t>
  </si>
  <si>
    <t>Elderly adult mild</t>
  </si>
  <si>
    <t>Elderly adult moderate</t>
  </si>
  <si>
    <t>Carer LOP</t>
  </si>
  <si>
    <t>Children 0-3 mild</t>
  </si>
  <si>
    <t>Children 0-3 moderate</t>
  </si>
  <si>
    <t>Children 0-3 severe/profound</t>
  </si>
  <si>
    <t>Children 4-11 mild</t>
  </si>
  <si>
    <t>Children 4-11 moderate</t>
  </si>
  <si>
    <t>Children 4-11 severe/profound</t>
  </si>
  <si>
    <t>Children 12-17 mild</t>
  </si>
  <si>
    <t>Children 12-17 moderate</t>
  </si>
  <si>
    <t>Children 12-17 severe/profound</t>
  </si>
  <si>
    <t>Child Yearly Totals</t>
  </si>
  <si>
    <t>Young Adult Yearly Totals</t>
  </si>
  <si>
    <t>Adult Yearly Totals</t>
  </si>
  <si>
    <t>Elderly Adult Yearly Totals</t>
  </si>
  <si>
    <t>Total Yealry Healthcare Costs</t>
  </si>
  <si>
    <t>Total Yearly Social Costs</t>
  </si>
  <si>
    <t>Total Yearly Costs</t>
  </si>
  <si>
    <t>Adult severe/profound</t>
  </si>
  <si>
    <t>Elderly adult severe/profound</t>
  </si>
  <si>
    <t>Noyes J
Health and Social Care in the Community
2006;14:508</t>
  </si>
  <si>
    <t>Ventilator-dependent children (aged 1-18) living in hospital</t>
  </si>
  <si>
    <t>Ventilator-dependent children (aged 1-18) living at home</t>
  </si>
  <si>
    <t>Ambulance</t>
  </si>
  <si>
    <t>Bent N
Lancet
2002;360:1280</t>
  </si>
  <si>
    <t>Physically disabled young people with mild or no learning disability treated via young adult team approch (aged 17–28 years (mean 20.4)</t>
  </si>
  <si>
    <t>Physically disabled young people with mild or no learning disability treated via ad hoc approch (aged 17–28 years (mean 20.4)</t>
  </si>
  <si>
    <t>Specialist</t>
  </si>
  <si>
    <t>Revill P
European Journal of Disability Research
2013;7:260</t>
  </si>
  <si>
    <t>Young children with severe disabilities treated in hosiptal</t>
  </si>
  <si>
    <t>Young children with severe disabilities treated with homecare</t>
  </si>
  <si>
    <t>EURO</t>
  </si>
  <si>
    <t>Travel</t>
  </si>
  <si>
    <t>Beecham J
Health and Social Care in the Community
2001;9:51</t>
  </si>
  <si>
    <t>Young adults (age 16-24) with hemiplegic cerebral palsy</t>
  </si>
  <si>
    <t>Knapp M
Child Care and Health Development
2008;34:512</t>
  </si>
  <si>
    <t>Employed disabled male</t>
  </si>
  <si>
    <t>Employed disabled female</t>
  </si>
  <si>
    <t>Unemployed disabled female</t>
  </si>
  <si>
    <t>Unemployed disabled male (overall sample 50% experiencing transition; average age 20 and 50% post-transition; average age 30)</t>
  </si>
  <si>
    <t>Lost National insurance</t>
  </si>
  <si>
    <t>Lost direct taxation</t>
  </si>
  <si>
    <t>Lost indirect taxation</t>
  </si>
  <si>
    <t>Pumkam C
Disability and Health Journal
2013;6:287</t>
  </si>
  <si>
    <t>Average over 2007 and 2008</t>
  </si>
  <si>
    <t>Working age adults (18-64) with persistent physical impairments only</t>
  </si>
  <si>
    <t>Woolley M
Family Fund
2004</t>
  </si>
  <si>
    <t>Severely disabled (not specifically physical disability) or seriously ill child</t>
  </si>
  <si>
    <t>Frisch J
Physical Disability Council of Australia
2001
&amp;
Walsh J
Department of Family and Community Services
1999</t>
  </si>
  <si>
    <t>Disability Support Pension recipients with musculoskeletal impairments and non-zero costs (eligible age 16-64)</t>
  </si>
  <si>
    <t>Housing extras</t>
  </si>
  <si>
    <t>Frisch J
Physical Disability Council of Australia
2001
&amp;
Huges D
The Australian Quadriplegic Association
1999</t>
  </si>
  <si>
    <t>Australian Quadriplegic Association members, most of whom had spinal cord injuries</t>
  </si>
  <si>
    <t>Children 0-18 severe in hospital</t>
  </si>
  <si>
    <t>Children 0-18 severe at home</t>
  </si>
  <si>
    <t>Young adults 18-30 employed</t>
  </si>
  <si>
    <t>Young adults 18-30 unemployed</t>
  </si>
  <si>
    <t>Adults 30+ employed</t>
  </si>
  <si>
    <t>Adults 30+ unemployed</t>
  </si>
  <si>
    <t>Lower Bound Estimate</t>
  </si>
  <si>
    <t>Middle Bound Estimate</t>
  </si>
  <si>
    <t>Upper Bound Estimate</t>
  </si>
  <si>
    <t>18+ (adult living in private household)</t>
  </si>
  <si>
    <t>18+ (adult supported living accommodation)</t>
  </si>
  <si>
    <t>18+ (adult living in residential care)</t>
  </si>
  <si>
    <t>18+ (adult living in hospital)</t>
  </si>
  <si>
    <t>Child with cerebral palsy without intellectual disability</t>
  </si>
  <si>
    <t>Kancherla V
Research in Development Disabilities
2012;33(3):832</t>
  </si>
  <si>
    <t>Adults with ID living in group home (mean age 44.9 years)</t>
  </si>
  <si>
    <t>Adults with ID living semi-independently (mean age 38.76 years)</t>
  </si>
  <si>
    <t>Stancliffe RJ
Journal of Intellectual and Developmental Disability
2000;25(4):281</t>
  </si>
  <si>
    <t>Private residence</t>
  </si>
  <si>
    <t>Domestic-scale supported living facility</t>
  </si>
  <si>
    <t>Supported accommodation facility</t>
  </si>
  <si>
    <t>Other (e.g. hospital, residential aged care)</t>
  </si>
  <si>
    <t>Not stated/not colelcted</t>
  </si>
  <si>
    <t>Residential setting for service users with intellectual disability (AIHW Disability Support Services 2012-13 Appendix Table B31)</t>
  </si>
  <si>
    <t>Total not in private residence</t>
  </si>
  <si>
    <t>Proportion in supported living</t>
  </si>
  <si>
    <t>Proportion in residential care</t>
  </si>
  <si>
    <t>Proportion in hospital</t>
  </si>
  <si>
    <t>Costs in excess</t>
  </si>
  <si>
    <t>Limited to ID only</t>
  </si>
  <si>
    <t>Not clear if patients also had some physical disability</t>
  </si>
  <si>
    <t>13% had  physical/health needs; authors note this information should be treated with caution.</t>
  </si>
  <si>
    <t>The majority (87%) were ambulant.</t>
  </si>
  <si>
    <t>Unclear if costs in excess</t>
  </si>
  <si>
    <t>19.3% had cerebral palsy or other significant motor dysfunction; 14.8% sits or uses a wheelchair</t>
  </si>
  <si>
    <t>85% had a mobility physical health diagnosis</t>
  </si>
  <si>
    <t>37% had mobility problems</t>
  </si>
  <si>
    <t>3% in each group had cerebral palsy</t>
  </si>
  <si>
    <t>Limited to PD only</t>
  </si>
  <si>
    <t>Not clear if patients also had some intellectual disability</t>
  </si>
  <si>
    <t>Without concurrent intellectual disability</t>
  </si>
  <si>
    <t>Patients had either mild or no learning disability; excluded individuals who had only sensory or learning disabilities</t>
  </si>
  <si>
    <t>Approximately 26% had IQ below 70</t>
  </si>
  <si>
    <t>Not clear if some patients had some intellectual disability</t>
  </si>
  <si>
    <t>Persons with mental disorders were excluded</t>
  </si>
  <si>
    <t>Sacco P
Am Health Drug Benefits
2013;6(2):73</t>
  </si>
  <si>
    <t>(2004-2009)</t>
  </si>
  <si>
    <t>Children 0-11 Commercial/Medicare</t>
  </si>
  <si>
    <t>Children 0-11 Medicaid</t>
  </si>
  <si>
    <t>Adolescents 12-17 Commercial/Medicare</t>
  </si>
  <si>
    <t>Adolescents 12-17 Medicaid</t>
  </si>
  <si>
    <t>Adults &gt;=18 Commercial/Medicare</t>
  </si>
  <si>
    <t>Adults &gt;=18 Medicaid</t>
  </si>
  <si>
    <t>Buescher AVS
JAMA Pediatr
2014;168(8):721</t>
  </si>
  <si>
    <t>Adults 18+ with ID UK</t>
  </si>
  <si>
    <t>Adults 18+ with ID US</t>
  </si>
  <si>
    <t>Children 0-5 with ID US</t>
  </si>
  <si>
    <t>Children 6-17 with ID US</t>
  </si>
  <si>
    <t>Children 12-17 with ID UK</t>
  </si>
  <si>
    <t>Children 4-11 with ID UK</t>
  </si>
  <si>
    <t>Children 2-3 with ID UK</t>
  </si>
  <si>
    <t>Children 0-1 with ID UK</t>
  </si>
  <si>
    <t>www.xe.com 08/05/2019</t>
  </si>
  <si>
    <t>Total Income Support</t>
  </si>
  <si>
    <t>Total Carer Costs</t>
  </si>
  <si>
    <t>Total Treatment / Medication /Aids Costs</t>
  </si>
  <si>
    <t>Total Treatment / Medication / Aids Cost</t>
  </si>
  <si>
    <t>Total Loss of Productivity</t>
  </si>
  <si>
    <t>Costs of Intellectual Disability Data</t>
  </si>
  <si>
    <t>Costs of Intellectual Disability Totals</t>
  </si>
  <si>
    <t>Costs of Physical Disability Data</t>
  </si>
  <si>
    <t>Costs of Physical Disability Totals</t>
  </si>
  <si>
    <t>Total Healthcare Costs</t>
  </si>
  <si>
    <t>Total Social Costs</t>
  </si>
  <si>
    <t>Total Costs</t>
  </si>
  <si>
    <t>Value</t>
  </si>
  <si>
    <t>Mean</t>
  </si>
  <si>
    <t>Lower bound</t>
  </si>
  <si>
    <t>Upper bound</t>
  </si>
  <si>
    <t>Children 0-3 severe</t>
  </si>
  <si>
    <t>Children 4-11 severe</t>
  </si>
  <si>
    <t>Children 12-17 severe</t>
  </si>
  <si>
    <t>Young adult 18-29 mild</t>
  </si>
  <si>
    <t>Young adult 18-29 moderate</t>
  </si>
  <si>
    <t>Young adult 18-29 severe</t>
  </si>
  <si>
    <t>Adult 30-59 mild</t>
  </si>
  <si>
    <t>Adult 30-59 moderate</t>
  </si>
  <si>
    <t>Adult 30-59 severe</t>
  </si>
  <si>
    <t>Elderly adult &gt;60 mild</t>
  </si>
  <si>
    <t>Elderly adult &gt;60 moderate</t>
  </si>
  <si>
    <t>Elderly adult &gt;60 severe</t>
  </si>
  <si>
    <t>Children 0-17 severe at home</t>
  </si>
  <si>
    <t>Children 0-17 severe at hospital</t>
  </si>
  <si>
    <t>Young adults 18-29 employed</t>
  </si>
  <si>
    <t>Young adults 18-29 unemployed</t>
  </si>
  <si>
    <t>Adults 30-60 employed</t>
  </si>
  <si>
    <t>Adults 30-60 unemployed</t>
  </si>
  <si>
    <t>Hospital Services Costs</t>
  </si>
  <si>
    <t>Treatment / Aids / Adaptations Costs</t>
  </si>
  <si>
    <t>Accommodation Costs</t>
  </si>
  <si>
    <t>Daytime Activities Cost</t>
  </si>
  <si>
    <t>Total Loss of Productivity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</si>
</sst>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C09]#,##0.00"/>
    <numFmt numFmtId="166" formatCode="&quot;$&quot;#,##0"/>
  </numFmts>
  <fonts count="14"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6"/>
      <color theme="0"/>
      <name val="Arial"/>
      <family val="2"/>
    </font>
    <font>
      <b/>
      <sz val="8"/>
      <color theme="0"/>
      <name val="Arial"/>
      <family val="2"/>
    </font>
    <font>
      <sz val="8"/>
      <color theme="1"/>
      <name val="Arial"/>
      <family val="2"/>
    </font>
    <font>
      <sz val="8"/>
      <color theme="1"/>
      <name val="Calibri"/>
      <family val="2"/>
      <scheme val="minor"/>
    </font>
    <font>
      <b/>
      <sz val="9"/>
      <color indexed="81"/>
      <name val="Tahoma"/>
      <family val="2"/>
    </font>
    <font>
      <b/>
      <i/>
      <sz val="11"/>
      <color theme="0"/>
      <name val="Arial"/>
      <family val="2"/>
    </font>
    <font>
      <sz val="11"/>
      <color theme="0"/>
      <name val="Arial"/>
      <family val="2"/>
    </font>
    <font>
      <b/>
      <sz val="9"/>
      <color indexed="81"/>
      <name val="Tahoma"/>
      <charset val="1"/>
    </font>
    <font>
      <b/>
      <sz val="10"/>
      <name val="Arial"/>
      <family val="2"/>
    </font>
    <font>
      <i/>
      <sz val="11"/>
      <color theme="1"/>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45">
    <xf numFmtId="0" fontId="0" fillId="0" borderId="0" xfId="0"/>
    <xf numFmtId="0" fontId="1" fillId="0" borderId="0" xfId="0" applyFont="1"/>
    <xf numFmtId="0" fontId="1" fillId="2" borderId="0" xfId="0" applyFont="1" applyFill="1"/>
    <xf numFmtId="0" fontId="1" fillId="3" borderId="0" xfId="0" applyFont="1" applyFill="1"/>
    <xf numFmtId="0" fontId="1" fillId="4" borderId="0" xfId="0" applyFont="1" applyFill="1"/>
    <xf numFmtId="0" fontId="3" fillId="4" borderId="0" xfId="0" applyFont="1" applyFill="1"/>
    <xf numFmtId="0" fontId="4" fillId="4" borderId="0" xfId="0" applyFont="1" applyFill="1"/>
    <xf numFmtId="0" fontId="6" fillId="4" borderId="0" xfId="0" applyFont="1" applyFill="1"/>
    <xf numFmtId="0" fontId="2" fillId="5" borderId="0" xfId="0" applyFont="1" applyFill="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1" fillId="0" borderId="0" xfId="0" applyFont="1" applyAlignment="1">
      <alignment horizontal="center" vertical="center" wrapText="1"/>
    </xf>
    <xf numFmtId="164" fontId="1" fillId="0" borderId="0" xfId="0" applyNumberFormat="1" applyFont="1"/>
    <xf numFmtId="0" fontId="5" fillId="3"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xf numFmtId="0" fontId="3" fillId="3" borderId="0" xfId="0" applyFont="1" applyFill="1" applyAlignment="1">
      <alignment horizontal="center" vertical="center"/>
    </xf>
    <xf numFmtId="0" fontId="1" fillId="0" borderId="0" xfId="0" applyFont="1" applyFill="1" applyAlignment="1">
      <alignment horizontal="center" vertical="center" wrapText="1"/>
    </xf>
    <xf numFmtId="165" fontId="1" fillId="0" borderId="0" xfId="0" applyNumberFormat="1" applyFont="1"/>
    <xf numFmtId="164" fontId="1" fillId="4" borderId="0" xfId="0" applyNumberFormat="1" applyFont="1" applyFill="1"/>
    <xf numFmtId="165" fontId="1" fillId="4" borderId="0" xfId="0" applyNumberFormat="1" applyFont="1" applyFill="1"/>
    <xf numFmtId="0" fontId="9" fillId="4" borderId="0" xfId="0" applyFont="1" applyFill="1"/>
    <xf numFmtId="164" fontId="1" fillId="0" borderId="0" xfId="0" applyNumberFormat="1" applyFont="1" applyFill="1"/>
    <xf numFmtId="0" fontId="1" fillId="3" borderId="0" xfId="0" applyFont="1" applyFill="1" applyAlignment="1">
      <alignment horizontal="center" vertical="center"/>
    </xf>
    <xf numFmtId="164" fontId="1" fillId="0" borderId="0" xfId="0" applyNumberFormat="1" applyFont="1" applyAlignment="1">
      <alignment horizontal="center" vertical="center"/>
    </xf>
    <xf numFmtId="164" fontId="1" fillId="4" borderId="0" xfId="0" applyNumberFormat="1" applyFont="1" applyFill="1" applyAlignment="1">
      <alignment horizontal="center" vertical="center"/>
    </xf>
    <xf numFmtId="164" fontId="1" fillId="2" borderId="0" xfId="0" applyNumberFormat="1" applyFont="1" applyFill="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center" vertical="center"/>
    </xf>
    <xf numFmtId="16" fontId="1" fillId="0" borderId="0" xfId="0" applyNumberFormat="1" applyFont="1" applyAlignment="1">
      <alignment horizontal="center" vertical="center"/>
    </xf>
    <xf numFmtId="0" fontId="1" fillId="0" borderId="0" xfId="0" applyFont="1" applyFill="1" applyAlignment="1">
      <alignment horizontal="center" vertical="center"/>
    </xf>
    <xf numFmtId="164" fontId="1" fillId="3" borderId="0" xfId="0" applyNumberFormat="1" applyFont="1" applyFill="1" applyAlignment="1">
      <alignment horizontal="center" vertical="center"/>
    </xf>
    <xf numFmtId="164" fontId="1" fillId="0" borderId="0" xfId="0" applyNumberFormat="1" applyFont="1" applyFill="1" applyAlignment="1">
      <alignment horizontal="center" vertical="center"/>
    </xf>
    <xf numFmtId="0" fontId="5" fillId="4" borderId="0" xfId="0" applyFont="1" applyFill="1" applyAlignment="1">
      <alignment horizontal="center" vertical="center"/>
    </xf>
    <xf numFmtId="164" fontId="5" fillId="3" borderId="0" xfId="0" applyNumberFormat="1" applyFont="1" applyFill="1" applyAlignment="1">
      <alignment horizontal="center" vertical="center"/>
    </xf>
    <xf numFmtId="0" fontId="0" fillId="3" borderId="0" xfId="0" applyFill="1" applyAlignment="1">
      <alignment horizontal="center" vertical="center"/>
    </xf>
    <xf numFmtId="16" fontId="1" fillId="3"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165" fontId="1" fillId="3" borderId="0" xfId="0" applyNumberFormat="1" applyFont="1" applyFill="1"/>
    <xf numFmtId="1" fontId="1" fillId="0" borderId="0" xfId="0" applyNumberFormat="1" applyFont="1" applyAlignment="1">
      <alignment horizontal="center" vertical="center"/>
    </xf>
    <xf numFmtId="1" fontId="1" fillId="3" borderId="0" xfId="0" applyNumberFormat="1" applyFont="1" applyFill="1" applyAlignment="1">
      <alignment horizontal="center" vertical="center"/>
    </xf>
    <xf numFmtId="1" fontId="1" fillId="0" borderId="0" xfId="0" applyNumberFormat="1" applyFont="1" applyAlignment="1">
      <alignment horizontal="center" vertical="center" wrapText="1"/>
    </xf>
    <xf numFmtId="1" fontId="1" fillId="0" borderId="0" xfId="0" applyNumberFormat="1" applyFont="1" applyFill="1" applyAlignment="1">
      <alignment horizontal="center" vertical="center" wrapText="1"/>
    </xf>
    <xf numFmtId="1" fontId="1" fillId="3" borderId="0" xfId="0" applyNumberFormat="1" applyFont="1" applyFill="1"/>
    <xf numFmtId="0" fontId="3" fillId="4" borderId="0" xfId="0" applyFont="1" applyFill="1" applyAlignment="1">
      <alignment horizontal="center" vertical="center"/>
    </xf>
    <xf numFmtId="1" fontId="1" fillId="4"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4" fillId="7" borderId="0" xfId="0" applyFont="1" applyFill="1"/>
    <xf numFmtId="0" fontId="3" fillId="7" borderId="0" xfId="0" applyFont="1" applyFill="1"/>
    <xf numFmtId="0" fontId="1" fillId="7" borderId="0" xfId="0" applyFont="1" applyFill="1"/>
    <xf numFmtId="0" fontId="6" fillId="7" borderId="0" xfId="0" applyFont="1" applyFill="1"/>
    <xf numFmtId="0" fontId="2" fillId="7" borderId="0" xfId="0" applyFont="1" applyFill="1" applyAlignment="1">
      <alignment horizontal="center" vertical="center"/>
    </xf>
    <xf numFmtId="0" fontId="9" fillId="7" borderId="0" xfId="0" applyFont="1" applyFill="1"/>
    <xf numFmtId="0" fontId="1" fillId="8" borderId="0" xfId="0" applyFont="1" applyFill="1"/>
    <xf numFmtId="0" fontId="2" fillId="8" borderId="0" xfId="0" applyFont="1" applyFill="1" applyAlignment="1">
      <alignment horizontal="center" vertical="center"/>
    </xf>
    <xf numFmtId="0" fontId="3" fillId="8" borderId="0" xfId="0" applyFont="1" applyFill="1" applyAlignment="1">
      <alignment horizontal="center" vertical="center"/>
    </xf>
    <xf numFmtId="0" fontId="1" fillId="8" borderId="0" xfId="0" applyFont="1" applyFill="1" applyAlignment="1">
      <alignment horizontal="center" vertical="center"/>
    </xf>
    <xf numFmtId="0" fontId="5" fillId="8" borderId="0" xfId="0" applyFont="1" applyFill="1" applyAlignment="1">
      <alignment horizontal="center" vertical="center"/>
    </xf>
    <xf numFmtId="164" fontId="5" fillId="8" borderId="0" xfId="0" applyNumberFormat="1" applyFont="1" applyFill="1" applyAlignment="1">
      <alignment horizontal="center" vertical="center"/>
    </xf>
    <xf numFmtId="164" fontId="1" fillId="8" borderId="0" xfId="0" applyNumberFormat="1" applyFont="1" applyFill="1" applyAlignment="1">
      <alignment horizontal="center" vertical="center"/>
    </xf>
    <xf numFmtId="0" fontId="1" fillId="7" borderId="0" xfId="0" applyFont="1" applyFill="1" applyAlignment="1">
      <alignment horizontal="center" vertical="center"/>
    </xf>
    <xf numFmtId="0" fontId="5" fillId="7" borderId="0" xfId="0" applyFont="1" applyFill="1" applyAlignment="1">
      <alignment horizontal="center" vertical="center"/>
    </xf>
    <xf numFmtId="164" fontId="1" fillId="7" borderId="0" xfId="0" applyNumberFormat="1" applyFont="1" applyFill="1" applyAlignment="1">
      <alignment horizontal="center" vertical="center"/>
    </xf>
    <xf numFmtId="164" fontId="1" fillId="9" borderId="0" xfId="0" applyNumberFormat="1" applyFont="1" applyFill="1" applyAlignment="1">
      <alignment horizontal="center" vertical="center"/>
    </xf>
    <xf numFmtId="0" fontId="2" fillId="9" borderId="0" xfId="0" applyFont="1" applyFill="1" applyAlignment="1">
      <alignment horizontal="center" vertical="center"/>
    </xf>
    <xf numFmtId="0" fontId="1" fillId="9" borderId="0" xfId="0" applyFont="1" applyFill="1" applyAlignment="1">
      <alignment horizontal="center" vertical="center"/>
    </xf>
    <xf numFmtId="0" fontId="7" fillId="8" borderId="0" xfId="0" applyFont="1" applyFill="1" applyAlignment="1">
      <alignment horizontal="center" vertical="center"/>
    </xf>
    <xf numFmtId="1" fontId="1" fillId="8" borderId="0" xfId="0" applyNumberFormat="1" applyFont="1" applyFill="1" applyAlignment="1">
      <alignment horizontal="center" vertical="center"/>
    </xf>
    <xf numFmtId="0" fontId="0" fillId="8" borderId="0" xfId="0"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164" fontId="1" fillId="8" borderId="0" xfId="0" applyNumberFormat="1" applyFont="1" applyFill="1"/>
    <xf numFmtId="0" fontId="3" fillId="7" borderId="0" xfId="0" applyFont="1" applyFill="1" applyAlignment="1">
      <alignment horizontal="center" vertical="center"/>
    </xf>
    <xf numFmtId="0" fontId="1" fillId="8" borderId="0" xfId="0" applyFont="1" applyFill="1" applyAlignment="1">
      <alignment horizontal="center" vertical="center" wrapText="1"/>
    </xf>
    <xf numFmtId="0" fontId="6" fillId="7" borderId="0" xfId="0" applyFont="1" applyFill="1" applyAlignment="1">
      <alignment horizontal="center" vertical="center" wrapText="1"/>
    </xf>
    <xf numFmtId="0" fontId="1" fillId="7" borderId="0" xfId="0" applyFont="1" applyFill="1" applyAlignment="1">
      <alignment horizontal="center" vertical="center" wrapText="1"/>
    </xf>
    <xf numFmtId="0" fontId="1" fillId="5" borderId="0" xfId="0" applyFont="1" applyFill="1"/>
    <xf numFmtId="0" fontId="1" fillId="5" borderId="0" xfId="0" applyFont="1" applyFill="1" applyAlignment="1">
      <alignment horizontal="center" vertical="center"/>
    </xf>
    <xf numFmtId="164" fontId="1" fillId="5" borderId="0" xfId="0" applyNumberFormat="1"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0" fillId="4" borderId="0" xfId="0" applyFont="1" applyFill="1"/>
    <xf numFmtId="0" fontId="6" fillId="3"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3" fillId="3" borderId="0" xfId="0" applyFont="1" applyFill="1" applyAlignment="1">
      <alignment horizontal="left" vertical="center"/>
    </xf>
    <xf numFmtId="0" fontId="2" fillId="3" borderId="0" xfId="0" applyFont="1" applyFill="1" applyAlignment="1">
      <alignment horizontal="left" vertical="center"/>
    </xf>
    <xf numFmtId="0" fontId="6"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12" fillId="10" borderId="0" xfId="0" applyFont="1" applyFill="1"/>
    <xf numFmtId="0" fontId="12" fillId="6" borderId="0" xfId="0" applyFont="1" applyFill="1"/>
    <xf numFmtId="0" fontId="6" fillId="6" borderId="0" xfId="0" applyFont="1" applyFill="1" applyAlignment="1">
      <alignment horizontal="center" vertical="center" wrapText="1"/>
    </xf>
    <xf numFmtId="0" fontId="6" fillId="10" borderId="0" xfId="0" applyFont="1" applyFill="1" applyAlignment="1">
      <alignment horizontal="center" vertical="center"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 fillId="0" borderId="0" xfId="0" applyFont="1" applyAlignment="1">
      <alignment horizontal="center" vertical="center" wrapText="1"/>
    </xf>
    <xf numFmtId="0" fontId="2" fillId="3" borderId="0" xfId="0" applyFont="1" applyFill="1" applyAlignment="1">
      <alignment horizontal="center"/>
    </xf>
    <xf numFmtId="0" fontId="2" fillId="11" borderId="0" xfId="0" applyFont="1" applyFill="1" applyAlignment="1">
      <alignment horizontal="center" vertical="center"/>
    </xf>
    <xf numFmtId="16" fontId="1" fillId="0" borderId="0" xfId="0" applyNumberFormat="1" applyFont="1" applyAlignment="1">
      <alignment horizontal="center" vertical="center" wrapText="1"/>
    </xf>
    <xf numFmtId="164" fontId="1" fillId="2" borderId="0" xfId="0" applyNumberFormat="1" applyFont="1" applyFill="1"/>
    <xf numFmtId="164" fontId="1" fillId="2" borderId="0" xfId="0" applyNumberFormat="1" applyFont="1" applyFill="1" applyAlignment="1">
      <alignment horizontal="center"/>
    </xf>
    <xf numFmtId="164" fontId="1" fillId="0" borderId="0" xfId="0" applyNumberFormat="1" applyFont="1" applyAlignment="1">
      <alignment horizontal="center"/>
    </xf>
    <xf numFmtId="44" fontId="1" fillId="0" borderId="0" xfId="0" applyNumberFormat="1" applyFont="1" applyAlignment="1">
      <alignment horizontal="center"/>
    </xf>
    <xf numFmtId="44" fontId="1" fillId="0" borderId="0" xfId="0" applyNumberFormat="1" applyFont="1" applyAlignment="1">
      <alignment horizontal="center" vertical="center"/>
    </xf>
    <xf numFmtId="164" fontId="1" fillId="3" borderId="0" xfId="0" applyNumberFormat="1" applyFont="1" applyFill="1"/>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6" fillId="4" borderId="0" xfId="0" applyFont="1" applyFill="1" applyAlignment="1">
      <alignment horizontal="center" vertical="center" wrapText="1"/>
    </xf>
    <xf numFmtId="164" fontId="1" fillId="12" borderId="0" xfId="0" applyNumberFormat="1" applyFont="1" applyFill="1" applyAlignment="1">
      <alignment horizontal="center" vertical="center"/>
    </xf>
    <xf numFmtId="0" fontId="1" fillId="12" borderId="0" xfId="0" applyFont="1" applyFill="1" applyAlignment="1">
      <alignment horizontal="center" vertical="center"/>
    </xf>
    <xf numFmtId="0" fontId="1" fillId="12" borderId="0" xfId="0" applyFont="1" applyFill="1"/>
    <xf numFmtId="164" fontId="1" fillId="7" borderId="0" xfId="0" applyNumberFormat="1" applyFont="1" applyFill="1"/>
    <xf numFmtId="0" fontId="2" fillId="0" borderId="0" xfId="0" applyFont="1" applyAlignment="1">
      <alignment horizontal="center" vertical="center"/>
    </xf>
    <xf numFmtId="166" fontId="1" fillId="0" borderId="0" xfId="0" applyNumberFormat="1" applyFont="1" applyAlignment="1">
      <alignment horizontal="center" vertical="center"/>
    </xf>
    <xf numFmtId="166" fontId="1" fillId="4" borderId="0" xfId="0" applyNumberFormat="1" applyFont="1" applyFill="1" applyAlignment="1">
      <alignment horizontal="center" vertical="center"/>
    </xf>
    <xf numFmtId="166" fontId="1" fillId="7" borderId="0" xfId="0" applyNumberFormat="1" applyFont="1" applyFill="1" applyAlignment="1">
      <alignment horizontal="center" vertical="center"/>
    </xf>
    <xf numFmtId="166" fontId="13" fillId="0" borderId="0" xfId="0" applyNumberFormat="1" applyFont="1" applyAlignment="1">
      <alignment horizontal="center" vertical="center"/>
    </xf>
    <xf numFmtId="0" fontId="2" fillId="0" borderId="0" xfId="0" applyFont="1" applyAlignment="1">
      <alignment horizontal="center" vertical="center" wrapText="1"/>
    </xf>
    <xf numFmtId="0" fontId="1" fillId="5" borderId="0" xfId="0" applyFont="1" applyFill="1" applyAlignment="1">
      <alignment horizontal="center" vertical="center" wrapText="1"/>
    </xf>
    <xf numFmtId="0" fontId="13" fillId="0" borderId="0" xfId="0" applyFont="1" applyAlignment="1">
      <alignment horizontal="center" vertical="center"/>
    </xf>
    <xf numFmtId="0" fontId="6" fillId="10" borderId="0" xfId="0" applyFont="1" applyFill="1" applyAlignment="1">
      <alignment horizontal="center" vertical="center" wrapText="1"/>
    </xf>
    <xf numFmtId="0" fontId="7" fillId="10" borderId="0" xfId="0" applyFont="1" applyFill="1" applyAlignment="1">
      <alignment horizontal="center" vertical="center"/>
    </xf>
    <xf numFmtId="0" fontId="6" fillId="6" borderId="0" xfId="0" applyFont="1" applyFill="1" applyAlignment="1">
      <alignment horizontal="center" vertical="center" wrapText="1"/>
    </xf>
    <xf numFmtId="0" fontId="7"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10" borderId="0" xfId="0" applyFill="1" applyAlignment="1">
      <alignment horizontal="center" vertical="center"/>
    </xf>
    <xf numFmtId="0" fontId="1" fillId="0" borderId="0" xfId="0" applyFont="1" applyFill="1" applyAlignment="1">
      <alignment horizontal="center" vertical="center"/>
    </xf>
    <xf numFmtId="0" fontId="6" fillId="0" borderId="0" xfId="0" applyFont="1" applyFill="1" applyAlignment="1">
      <alignment horizontal="center" vertical="center" wrapText="1"/>
    </xf>
    <xf numFmtId="0" fontId="0" fillId="6" borderId="0" xfId="0" applyFill="1" applyAlignment="1"/>
    <xf numFmtId="0" fontId="0" fillId="0" borderId="0" xfId="0" applyAlignment="1"/>
    <xf numFmtId="0" fontId="7" fillId="6" borderId="0" xfId="0" applyFont="1"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V162"/>
  <sheetViews>
    <sheetView tabSelected="1" zoomScaleNormal="100" workbookViewId="0">
      <pane xSplit="6" ySplit="5" topLeftCell="G6" activePane="bottomRight" state="frozen"/>
      <selection pane="topRight" activeCell="G1" sqref="G1"/>
      <selection pane="bottomLeft" activeCell="A6" sqref="A6"/>
      <selection pane="bottomRight" activeCell="FW145" sqref="FW145"/>
    </sheetView>
  </sheetViews>
  <sheetFormatPr defaultColWidth="9.1796875" defaultRowHeight="14" x14ac:dyDescent="0.3"/>
  <cols>
    <col min="1" max="1" width="1.6328125" style="82" customWidth="1"/>
    <col min="2" max="3" width="27.54296875" style="82" customWidth="1"/>
    <col min="4" max="4" width="34.26953125" style="82" customWidth="1"/>
    <col min="5" max="5" width="10.54296875" style="82" customWidth="1"/>
    <col min="6" max="6" width="15.7265625" style="82" customWidth="1"/>
    <col min="7" max="7" width="9.1796875" style="82"/>
    <col min="8" max="8" width="11.26953125" style="82" customWidth="1"/>
    <col min="9" max="9" width="8.453125" style="82" customWidth="1"/>
    <col min="10" max="10" width="1.7265625" style="82" customWidth="1"/>
    <col min="11" max="12" width="10.1796875" style="82" customWidth="1"/>
    <col min="13" max="13" width="1.7265625" style="82" customWidth="1"/>
    <col min="14" max="14" width="9.81640625" style="82" customWidth="1"/>
    <col min="15" max="15" width="8.453125" style="82" customWidth="1"/>
    <col min="16" max="16" width="1.7265625" style="82" customWidth="1"/>
    <col min="17" max="17" width="19.1796875" style="82" customWidth="1"/>
    <col min="18" max="18" width="10.1796875" style="82" customWidth="1"/>
    <col min="19" max="19" width="1.7265625" style="82" customWidth="1"/>
    <col min="20" max="21" width="10.1796875" style="82" customWidth="1"/>
    <col min="22" max="22" width="1.7265625" style="82" customWidth="1"/>
    <col min="23" max="23" width="10.1796875" style="82" customWidth="1"/>
    <col min="24" max="24" width="8.26953125" style="82" customWidth="1"/>
    <col min="25" max="25" width="1.7265625" style="82" customWidth="1"/>
    <col min="26" max="26" width="11.1796875" style="82" customWidth="1"/>
    <col min="27" max="27" width="8.453125" style="82" customWidth="1"/>
    <col min="28" max="28" width="1.7265625" style="82" customWidth="1"/>
    <col min="29" max="29" width="10.81640625" style="82" customWidth="1"/>
    <col min="30" max="30" width="8.453125" style="82" customWidth="1"/>
    <col min="31" max="31" width="1.7265625" style="82" customWidth="1"/>
    <col min="32" max="33" width="8.453125" style="82" customWidth="1"/>
    <col min="34" max="34" width="1.7265625" style="82" customWidth="1"/>
    <col min="35" max="35" width="10.54296875" style="82" customWidth="1"/>
    <col min="36" max="36" width="8.453125" style="82" customWidth="1"/>
    <col min="37" max="37" width="1.7265625" style="82" customWidth="1"/>
    <col min="38" max="38" width="14.54296875" style="82" customWidth="1"/>
    <col min="39" max="39" width="8.453125" style="82" customWidth="1"/>
    <col min="40" max="40" width="1.7265625" style="82" customWidth="1"/>
    <col min="41" max="41" width="14.54296875" style="82" customWidth="1"/>
    <col min="42" max="42" width="7.26953125" style="82" customWidth="1"/>
    <col min="43" max="43" width="1.7265625" style="82" customWidth="1"/>
    <col min="44" max="44" width="10.26953125" style="82" customWidth="1"/>
    <col min="45" max="45" width="8.453125" style="82" customWidth="1"/>
    <col min="46" max="46" width="1.7265625" style="82" customWidth="1"/>
    <col min="47" max="47" width="10.1796875" style="82" customWidth="1"/>
    <col min="48" max="48" width="8.453125" style="82" customWidth="1"/>
    <col min="49" max="49" width="1.7265625" style="82" customWidth="1"/>
    <col min="50" max="50" width="17.453125" style="82" customWidth="1"/>
    <col min="51" max="51" width="8.453125" style="82" customWidth="1"/>
    <col min="52" max="52" width="1.7265625" style="82" customWidth="1"/>
    <col min="53" max="53" width="11" style="82" customWidth="1"/>
    <col min="54" max="54" width="8.453125" style="82" customWidth="1"/>
    <col min="55" max="55" width="1.7265625" style="82" customWidth="1"/>
    <col min="56" max="57" width="10.1796875" style="82" customWidth="1"/>
    <col min="58" max="58" width="1.7265625" style="82" customWidth="1"/>
    <col min="59" max="59" width="9.7265625" style="82" customWidth="1"/>
    <col min="60" max="60" width="8.453125" style="82" customWidth="1"/>
    <col min="61" max="61" width="1.7265625" style="82" customWidth="1"/>
    <col min="62" max="63" width="8.453125" style="82" customWidth="1"/>
    <col min="64" max="64" width="1.7265625" style="82" customWidth="1"/>
    <col min="65" max="66" width="8.453125" style="82" customWidth="1"/>
    <col min="67" max="67" width="1.7265625" style="82" customWidth="1"/>
    <col min="68" max="69" width="8.453125" style="82" customWidth="1"/>
    <col min="70" max="70" width="1.7265625" style="82" customWidth="1"/>
    <col min="71" max="71" width="11.26953125" style="82" customWidth="1"/>
    <col min="72" max="72" width="10.1796875" style="82" customWidth="1"/>
    <col min="73" max="73" width="1.7265625" style="82" customWidth="1"/>
    <col min="74" max="74" width="15" style="82" customWidth="1"/>
    <col min="75" max="75" width="10.1796875" style="82" customWidth="1"/>
    <col min="76" max="76" width="1.7265625" style="82" customWidth="1"/>
    <col min="77" max="78" width="10.1796875" style="82" customWidth="1"/>
    <col min="79" max="79" width="1.7265625" style="82" customWidth="1"/>
    <col min="80" max="80" width="14.54296875" style="82" customWidth="1"/>
    <col min="81" max="81" width="11.26953125" style="82" customWidth="1"/>
    <col min="82" max="82" width="1.7265625" style="82" customWidth="1"/>
    <col min="83" max="83" width="12.7265625" style="82" customWidth="1"/>
    <col min="84" max="84" width="10.1796875" style="82" customWidth="1"/>
    <col min="85" max="85" width="1.7265625" style="82" customWidth="1"/>
    <col min="86" max="86" width="21.81640625" style="82" customWidth="1"/>
    <col min="87" max="87" width="10.1796875" style="82" customWidth="1"/>
    <col min="88" max="88" width="1.7265625" style="82" customWidth="1"/>
    <col min="89" max="89" width="19.7265625" style="82" customWidth="1"/>
    <col min="90" max="90" width="10.1796875" style="82" customWidth="1"/>
    <col min="91" max="91" width="1.54296875" style="82" customWidth="1"/>
    <col min="92" max="92" width="14.26953125" style="82" customWidth="1"/>
    <col min="93" max="93" width="10.1796875" style="82" customWidth="1"/>
    <col min="94" max="94" width="1.6328125" style="82" customWidth="1"/>
    <col min="95" max="95" width="35.453125" style="82" customWidth="1"/>
    <col min="96" max="96" width="1.6328125" style="82" customWidth="1"/>
    <col min="97" max="97" width="11" style="82" customWidth="1"/>
    <col min="98" max="98" width="12" style="82" bestFit="1" customWidth="1"/>
    <col min="99" max="99" width="9.1796875" style="82"/>
    <col min="100" max="100" width="1.7265625" style="82" customWidth="1"/>
    <col min="101" max="101" width="14.7265625" style="82" bestFit="1" customWidth="1"/>
    <col min="102" max="102" width="9.1796875" style="82"/>
    <col min="103" max="103" width="1.7265625" style="82" customWidth="1"/>
    <col min="104" max="104" width="13.81640625" style="82" bestFit="1" customWidth="1"/>
    <col min="105" max="105" width="13.81640625" style="82" customWidth="1"/>
    <col min="106" max="106" width="1.7265625" style="82" customWidth="1"/>
    <col min="107" max="107" width="13.81640625" style="82" customWidth="1"/>
    <col min="108" max="108" width="9.1796875" style="82"/>
    <col min="109" max="109" width="1.7265625" style="82" customWidth="1"/>
    <col min="110" max="110" width="12.453125" style="82" bestFit="1" customWidth="1"/>
    <col min="111" max="111" width="9.1796875" style="82"/>
    <col min="112" max="112" width="1.7265625" style="82" customWidth="1"/>
    <col min="113" max="113" width="16.7265625" style="82" customWidth="1"/>
    <col min="114" max="114" width="12.453125" style="82" customWidth="1"/>
    <col min="115" max="115" width="1.7265625" style="82" customWidth="1"/>
    <col min="116" max="116" width="18" style="82" customWidth="1"/>
    <col min="117" max="117" width="6.81640625" style="82" customWidth="1"/>
    <col min="118" max="118" width="1.7265625" style="82" customWidth="1"/>
    <col min="119" max="119" width="15.54296875" style="82" customWidth="1"/>
    <col min="120" max="120" width="6.81640625" style="82" customWidth="1"/>
    <col min="121" max="121" width="1.7265625" style="82" customWidth="1"/>
    <col min="122" max="122" width="16.26953125" style="82" customWidth="1"/>
    <col min="123" max="123" width="6.1796875" style="82" customWidth="1"/>
    <col min="124" max="124" width="1.7265625" style="82" customWidth="1"/>
    <col min="125" max="125" width="12.81640625" style="82" customWidth="1"/>
    <col min="126" max="126" width="10.1796875" style="82" customWidth="1"/>
    <col min="127" max="127" width="1.7265625" style="82" customWidth="1"/>
    <col min="128" max="128" width="11.26953125" style="82" customWidth="1"/>
    <col min="129" max="129" width="10.1796875" style="82" customWidth="1"/>
    <col min="130" max="130" width="1.7265625" style="82" customWidth="1"/>
    <col min="131" max="131" width="11.54296875" style="82" customWidth="1"/>
    <col min="132" max="132" width="8.453125" style="82" customWidth="1"/>
    <col min="133" max="133" width="1.7265625" style="82" customWidth="1"/>
    <col min="134" max="134" width="12.1796875" style="82" customWidth="1"/>
    <col min="135" max="135" width="7.26953125" style="82" customWidth="1"/>
    <col min="136" max="136" width="1.7265625" style="82" customWidth="1"/>
    <col min="137" max="137" width="13.453125" style="82" customWidth="1"/>
    <col min="138" max="138" width="10.1796875" style="82" customWidth="1"/>
    <col min="139" max="139" width="1.7265625" style="82" customWidth="1"/>
    <col min="140" max="140" width="13.453125" style="82" customWidth="1"/>
    <col min="141" max="141" width="4" style="82" customWidth="1"/>
    <col min="142" max="142" width="1.7265625" style="82" customWidth="1"/>
    <col min="143" max="143" width="17.7265625" style="82" customWidth="1"/>
    <col min="144" max="144" width="11.26953125" style="82" customWidth="1"/>
    <col min="145" max="145" width="1.7265625" style="82" customWidth="1"/>
    <col min="146" max="146" width="15" style="82" customWidth="1"/>
    <col min="147" max="147" width="11.26953125" style="82" customWidth="1"/>
    <col min="148" max="148" width="1.7265625" style="82" customWidth="1"/>
    <col min="149" max="149" width="22.453125" style="82" customWidth="1"/>
    <col min="150" max="150" width="8.26953125" style="82" customWidth="1"/>
    <col min="151" max="151" width="1.7265625" style="82" customWidth="1"/>
    <col min="152" max="152" width="17.81640625" style="82" customWidth="1"/>
    <col min="153" max="153" width="8.26953125" style="82" customWidth="1"/>
    <col min="154" max="154" width="1.6328125" style="82" customWidth="1"/>
    <col min="155" max="155" width="22.453125" style="82" customWidth="1"/>
    <col min="156" max="156" width="1.6328125" style="82" customWidth="1"/>
    <col min="157" max="157" width="11.26953125" style="82" customWidth="1"/>
    <col min="158" max="158" width="12.453125" style="82" bestFit="1" customWidth="1"/>
    <col min="159" max="159" width="12.453125" style="82" customWidth="1"/>
    <col min="160" max="160" width="1.7265625" style="82" customWidth="1"/>
    <col min="161" max="162" width="11.26953125" style="82" customWidth="1"/>
    <col min="163" max="163" width="1.7265625" style="82" customWidth="1"/>
    <col min="164" max="164" width="12" style="82" bestFit="1" customWidth="1"/>
    <col min="165" max="165" width="12.453125" style="82" bestFit="1" customWidth="1"/>
    <col min="166" max="166" width="1.6328125" style="82" customWidth="1"/>
    <col min="167" max="167" width="18.6328125" style="82" customWidth="1"/>
    <col min="168" max="168" width="1.6328125" style="82" customWidth="1"/>
    <col min="169" max="169" width="13.26953125" style="82" customWidth="1"/>
    <col min="170" max="170" width="11.26953125" style="82" bestFit="1" customWidth="1"/>
    <col min="171" max="171" width="9.1796875" style="82"/>
    <col min="172" max="172" width="1.7265625" style="82" customWidth="1"/>
    <col min="173" max="173" width="12" style="82" bestFit="1" customWidth="1"/>
    <col min="174" max="174" width="9.1796875" style="82"/>
    <col min="175" max="175" width="1.7265625" style="82" customWidth="1"/>
    <col min="176" max="176" width="9.1796875" style="82"/>
    <col min="177" max="177" width="11.26953125" style="82" bestFit="1" customWidth="1"/>
    <col min="178" max="178" width="1.6328125" style="82" customWidth="1"/>
    <col min="179" max="179" width="25.54296875" style="82" customWidth="1"/>
    <col min="180" max="180" width="1.6328125" style="82" customWidth="1"/>
    <col min="181" max="181" width="3.7265625" style="82" customWidth="1"/>
    <col min="182" max="182" width="31.7265625" style="82" bestFit="1" customWidth="1"/>
    <col min="183" max="183" width="26.7265625" style="82" bestFit="1" customWidth="1"/>
    <col min="184" max="184" width="19.7265625" style="82" bestFit="1" customWidth="1"/>
    <col min="185" max="185" width="3.7265625" style="82" customWidth="1"/>
    <col min="186" max="186" width="43.81640625" style="82" customWidth="1"/>
    <col min="187" max="16384" width="9.1796875" style="82"/>
  </cols>
  <sheetData>
    <row r="1" spans="1:196" ht="20" x14ac:dyDescent="0.4">
      <c r="A1" s="4"/>
      <c r="B1" s="6" t="s">
        <v>251</v>
      </c>
      <c r="C1" s="6"/>
      <c r="D1" s="5"/>
      <c r="E1" s="5"/>
      <c r="F1" s="5"/>
      <c r="G1" s="4"/>
      <c r="H1" s="4"/>
      <c r="I1" s="4"/>
      <c r="J1" s="4"/>
      <c r="K1" s="4"/>
      <c r="L1" s="4"/>
      <c r="M1" s="4"/>
      <c r="N1" s="4"/>
      <c r="O1" s="4"/>
      <c r="P1" s="4"/>
      <c r="Q1" s="7" t="s">
        <v>245</v>
      </c>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3"/>
      <c r="FZ1" s="4"/>
      <c r="GA1" s="4"/>
      <c r="GB1" s="4"/>
      <c r="GC1" s="4"/>
    </row>
    <row r="2" spans="1:196" ht="15" customHeight="1" x14ac:dyDescent="0.3">
      <c r="A2" s="4"/>
      <c r="B2" s="4"/>
      <c r="C2" s="5"/>
      <c r="D2" s="5"/>
      <c r="E2" s="5"/>
      <c r="F2" s="5"/>
      <c r="G2" s="4"/>
      <c r="H2" s="4"/>
      <c r="I2" s="4"/>
      <c r="J2" s="9"/>
      <c r="K2" s="4"/>
      <c r="L2" s="4"/>
      <c r="M2" s="4"/>
      <c r="N2" s="9"/>
      <c r="O2" s="10" t="s">
        <v>14</v>
      </c>
      <c r="P2" s="10"/>
      <c r="Q2" s="10" t="s">
        <v>12</v>
      </c>
      <c r="R2" s="10" t="s">
        <v>12</v>
      </c>
      <c r="S2" s="10"/>
      <c r="T2" s="10" t="s">
        <v>12</v>
      </c>
      <c r="U2" s="104" t="s">
        <v>13</v>
      </c>
      <c r="V2" s="104"/>
      <c r="W2" s="104" t="s">
        <v>12</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3"/>
      <c r="FZ2" s="4"/>
      <c r="GA2" s="4"/>
      <c r="GB2" s="4"/>
      <c r="GC2" s="4"/>
    </row>
    <row r="3" spans="1:196" ht="15" customHeight="1" x14ac:dyDescent="0.3">
      <c r="A3" s="4"/>
      <c r="B3" s="96" t="s">
        <v>211</v>
      </c>
      <c r="C3" s="5"/>
      <c r="D3" s="5"/>
      <c r="E3" s="5"/>
      <c r="F3" s="5"/>
      <c r="G3" s="4"/>
      <c r="H3" s="5" t="s">
        <v>63</v>
      </c>
      <c r="I3" s="4"/>
      <c r="J3" s="9"/>
      <c r="K3" s="4"/>
      <c r="L3" s="4"/>
      <c r="M3" s="4"/>
      <c r="N3" s="9"/>
      <c r="O3" s="8">
        <v>1</v>
      </c>
      <c r="P3" s="8"/>
      <c r="Q3" s="8">
        <v>1.31</v>
      </c>
      <c r="R3" s="8">
        <v>1</v>
      </c>
      <c r="S3" s="8"/>
      <c r="T3" s="8">
        <v>1</v>
      </c>
      <c r="U3" s="105">
        <v>1</v>
      </c>
      <c r="V3" s="105"/>
      <c r="W3" s="105">
        <v>0.7</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5" t="s">
        <v>61</v>
      </c>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3"/>
      <c r="FZ3" s="4"/>
      <c r="GA3" s="4"/>
      <c r="GB3" s="4"/>
      <c r="GC3" s="4"/>
    </row>
    <row r="4" spans="1:196" x14ac:dyDescent="0.3">
      <c r="A4" s="4"/>
      <c r="B4" s="97" t="s">
        <v>216</v>
      </c>
      <c r="C4" s="5"/>
      <c r="D4" s="4"/>
      <c r="E4" s="4"/>
      <c r="F4" s="4"/>
      <c r="G4" s="4"/>
      <c r="H4" s="21" t="s">
        <v>62</v>
      </c>
      <c r="I4" s="4"/>
      <c r="J4" s="4"/>
      <c r="K4" s="4"/>
      <c r="L4" s="4"/>
      <c r="M4" s="4"/>
      <c r="N4" s="4"/>
      <c r="O4" s="4"/>
      <c r="P4" s="4"/>
      <c r="Q4" s="4"/>
      <c r="R4" s="4"/>
      <c r="S4" s="4"/>
      <c r="T4" s="21" t="s">
        <v>64</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21" t="s">
        <v>80</v>
      </c>
      <c r="CL4" s="4"/>
      <c r="CM4" s="4"/>
      <c r="CN4" s="4"/>
      <c r="CO4" s="4"/>
      <c r="CP4" s="4"/>
      <c r="CQ4" s="4"/>
      <c r="CR4" s="4"/>
      <c r="CS4" s="4"/>
      <c r="CT4" s="21" t="s">
        <v>71</v>
      </c>
      <c r="CU4" s="4"/>
      <c r="CV4" s="4"/>
      <c r="CW4" s="4"/>
      <c r="CX4" s="4"/>
      <c r="CY4" s="4"/>
      <c r="CZ4" s="4"/>
      <c r="DA4" s="4"/>
      <c r="DB4" s="4"/>
      <c r="DC4" s="4"/>
      <c r="DD4" s="4"/>
      <c r="DE4" s="4"/>
      <c r="DF4" s="4"/>
      <c r="DG4" s="4"/>
      <c r="DH4" s="4"/>
      <c r="DI4" s="4"/>
      <c r="DJ4" s="4"/>
      <c r="DK4" s="4"/>
      <c r="DL4" s="21" t="s">
        <v>60</v>
      </c>
      <c r="DM4" s="4"/>
      <c r="DN4" s="4"/>
      <c r="DO4" s="4"/>
      <c r="DP4" s="4"/>
      <c r="DQ4" s="4"/>
      <c r="DR4" s="4"/>
      <c r="DS4" s="4"/>
      <c r="DT4" s="4"/>
      <c r="DU4" s="4"/>
      <c r="DV4" s="4"/>
      <c r="DW4" s="4"/>
      <c r="DX4" s="21" t="s">
        <v>65</v>
      </c>
      <c r="DY4" s="21"/>
      <c r="DZ4" s="21"/>
      <c r="EA4" s="21"/>
      <c r="EB4" s="21"/>
      <c r="EC4" s="21"/>
      <c r="ED4" s="21"/>
      <c r="EE4" s="21"/>
      <c r="EF4" s="21"/>
      <c r="EG4" s="21"/>
      <c r="EH4" s="21"/>
      <c r="EI4" s="21"/>
      <c r="EJ4" s="21"/>
      <c r="EK4" s="21"/>
      <c r="EL4" s="21"/>
      <c r="EM4" s="21"/>
      <c r="EN4" s="21"/>
      <c r="EO4" s="4"/>
      <c r="EP4" s="21" t="s">
        <v>85</v>
      </c>
      <c r="EQ4" s="4"/>
      <c r="ER4" s="4"/>
      <c r="ES4" s="4"/>
      <c r="ET4" s="4"/>
      <c r="EU4" s="4"/>
      <c r="EV4" s="4"/>
      <c r="EW4" s="4"/>
      <c r="EX4" s="4"/>
      <c r="EY4" s="4"/>
      <c r="EZ4" s="4"/>
      <c r="FA4" s="4"/>
      <c r="FB4" s="21" t="s">
        <v>82</v>
      </c>
      <c r="FC4" s="4"/>
      <c r="FD4" s="4"/>
      <c r="FE4" s="4"/>
      <c r="FF4" s="4"/>
      <c r="FG4" s="4"/>
      <c r="FH4" s="4"/>
      <c r="FI4" s="4"/>
      <c r="FJ4" s="4"/>
      <c r="FK4" s="4"/>
      <c r="FL4" s="4"/>
      <c r="FM4" s="4"/>
      <c r="FN4" s="21" t="s">
        <v>84</v>
      </c>
      <c r="FO4" s="4"/>
      <c r="FP4" s="4"/>
      <c r="FQ4" s="4"/>
      <c r="FR4" s="4"/>
      <c r="FS4" s="4"/>
      <c r="FT4" s="21" t="s">
        <v>72</v>
      </c>
      <c r="FU4" s="4"/>
      <c r="FV4" s="4"/>
      <c r="FW4" s="4"/>
      <c r="FX4" s="4"/>
      <c r="FY4" s="3"/>
      <c r="FZ4" s="4"/>
      <c r="GA4" s="4"/>
      <c r="GB4" s="4"/>
      <c r="GC4" s="4"/>
    </row>
    <row r="5" spans="1:196" s="83" customFormat="1" x14ac:dyDescent="0.3">
      <c r="A5" s="4"/>
      <c r="B5" s="16" t="s">
        <v>4</v>
      </c>
      <c r="C5" s="16" t="s">
        <v>212</v>
      </c>
      <c r="D5" s="16" t="s">
        <v>22</v>
      </c>
      <c r="E5" s="16" t="s">
        <v>123</v>
      </c>
      <c r="F5" s="16" t="s">
        <v>35</v>
      </c>
      <c r="G5" s="23"/>
      <c r="H5" s="13" t="s">
        <v>5</v>
      </c>
      <c r="I5" s="13" t="s">
        <v>34</v>
      </c>
      <c r="J5" s="33"/>
      <c r="K5" s="34" t="s">
        <v>6</v>
      </c>
      <c r="L5" s="34" t="s">
        <v>34</v>
      </c>
      <c r="M5" s="33"/>
      <c r="N5" s="13" t="s">
        <v>36</v>
      </c>
      <c r="O5" s="13" t="s">
        <v>34</v>
      </c>
      <c r="P5" s="33"/>
      <c r="Q5" s="13" t="s">
        <v>37</v>
      </c>
      <c r="R5" s="13" t="s">
        <v>34</v>
      </c>
      <c r="S5" s="33"/>
      <c r="T5" s="13" t="s">
        <v>38</v>
      </c>
      <c r="U5" s="13" t="s">
        <v>34</v>
      </c>
      <c r="V5" s="33"/>
      <c r="W5" s="13" t="s">
        <v>39</v>
      </c>
      <c r="X5" s="13" t="s">
        <v>34</v>
      </c>
      <c r="Y5" s="27"/>
      <c r="Z5" s="13" t="s">
        <v>40</v>
      </c>
      <c r="AA5" s="13" t="s">
        <v>34</v>
      </c>
      <c r="AB5" s="33"/>
      <c r="AC5" s="13" t="s">
        <v>41</v>
      </c>
      <c r="AD5" s="13" t="s">
        <v>34</v>
      </c>
      <c r="AE5" s="33"/>
      <c r="AF5" s="13" t="s">
        <v>42</v>
      </c>
      <c r="AG5" s="13" t="s">
        <v>34</v>
      </c>
      <c r="AH5" s="33"/>
      <c r="AI5" s="13" t="s">
        <v>43</v>
      </c>
      <c r="AJ5" s="13" t="s">
        <v>34</v>
      </c>
      <c r="AK5" s="33"/>
      <c r="AL5" s="13" t="s">
        <v>44</v>
      </c>
      <c r="AM5" s="13" t="s">
        <v>34</v>
      </c>
      <c r="AN5" s="33"/>
      <c r="AO5" s="13" t="s">
        <v>89</v>
      </c>
      <c r="AP5" s="13" t="s">
        <v>34</v>
      </c>
      <c r="AQ5" s="33"/>
      <c r="AR5" s="13" t="s">
        <v>45</v>
      </c>
      <c r="AS5" s="13" t="s">
        <v>34</v>
      </c>
      <c r="AT5" s="33"/>
      <c r="AU5" s="13" t="s">
        <v>46</v>
      </c>
      <c r="AV5" s="13" t="s">
        <v>34</v>
      </c>
      <c r="AW5" s="33"/>
      <c r="AX5" s="13" t="s">
        <v>47</v>
      </c>
      <c r="AY5" s="13" t="s">
        <v>34</v>
      </c>
      <c r="AZ5" s="33"/>
      <c r="BA5" s="13" t="s">
        <v>48</v>
      </c>
      <c r="BB5" s="13" t="s">
        <v>34</v>
      </c>
      <c r="BC5" s="33"/>
      <c r="BD5" s="13" t="s">
        <v>49</v>
      </c>
      <c r="BE5" s="13" t="s">
        <v>34</v>
      </c>
      <c r="BF5" s="33"/>
      <c r="BG5" s="13" t="s">
        <v>50</v>
      </c>
      <c r="BH5" s="13" t="s">
        <v>34</v>
      </c>
      <c r="BI5" s="33"/>
      <c r="BJ5" s="13" t="s">
        <v>51</v>
      </c>
      <c r="BK5" s="13" t="s">
        <v>34</v>
      </c>
      <c r="BL5" s="33"/>
      <c r="BM5" s="13" t="s">
        <v>52</v>
      </c>
      <c r="BN5" s="13" t="s">
        <v>34</v>
      </c>
      <c r="BO5" s="33"/>
      <c r="BP5" s="13" t="s">
        <v>90</v>
      </c>
      <c r="BQ5" s="13" t="s">
        <v>34</v>
      </c>
      <c r="BR5" s="33"/>
      <c r="BS5" s="13" t="s">
        <v>53</v>
      </c>
      <c r="BT5" s="13" t="s">
        <v>34</v>
      </c>
      <c r="BU5" s="33"/>
      <c r="BV5" s="13" t="s">
        <v>91</v>
      </c>
      <c r="BW5" s="13" t="s">
        <v>34</v>
      </c>
      <c r="BX5" s="33"/>
      <c r="BY5" s="13" t="s">
        <v>92</v>
      </c>
      <c r="BZ5" s="13" t="s">
        <v>34</v>
      </c>
      <c r="CA5" s="33"/>
      <c r="CB5" s="13" t="s">
        <v>93</v>
      </c>
      <c r="CC5" s="13" t="s">
        <v>34</v>
      </c>
      <c r="CD5" s="33"/>
      <c r="CE5" s="13" t="s">
        <v>54</v>
      </c>
      <c r="CF5" s="13" t="s">
        <v>34</v>
      </c>
      <c r="CG5" s="33"/>
      <c r="CH5" s="13" t="s">
        <v>55</v>
      </c>
      <c r="CI5" s="13" t="s">
        <v>34</v>
      </c>
      <c r="CJ5" s="33"/>
      <c r="CK5" s="13" t="s">
        <v>81</v>
      </c>
      <c r="CL5" s="13" t="s">
        <v>34</v>
      </c>
      <c r="CM5" s="33"/>
      <c r="CN5" s="13" t="s">
        <v>103</v>
      </c>
      <c r="CO5" s="13" t="s">
        <v>34</v>
      </c>
      <c r="CP5" s="33"/>
      <c r="CQ5" s="13" t="s">
        <v>248</v>
      </c>
      <c r="CR5" s="33"/>
      <c r="CS5" s="31"/>
      <c r="CT5" s="13" t="s">
        <v>75</v>
      </c>
      <c r="CU5" s="13" t="s">
        <v>34</v>
      </c>
      <c r="CV5" s="25"/>
      <c r="CW5" s="13" t="s">
        <v>76</v>
      </c>
      <c r="CX5" s="13" t="s">
        <v>34</v>
      </c>
      <c r="CY5" s="25"/>
      <c r="CZ5" s="13" t="s">
        <v>77</v>
      </c>
      <c r="DA5" s="13" t="s">
        <v>34</v>
      </c>
      <c r="DB5" s="33"/>
      <c r="DC5" s="13" t="s">
        <v>9</v>
      </c>
      <c r="DD5" s="13" t="s">
        <v>34</v>
      </c>
      <c r="DE5" s="33"/>
      <c r="DF5" s="13" t="s">
        <v>78</v>
      </c>
      <c r="DG5" s="13" t="s">
        <v>34</v>
      </c>
      <c r="DH5" s="33"/>
      <c r="DI5" s="13" t="s">
        <v>74</v>
      </c>
      <c r="DJ5" s="13" t="s">
        <v>34</v>
      </c>
      <c r="DK5" s="33"/>
      <c r="DL5" s="13" t="s">
        <v>57</v>
      </c>
      <c r="DM5" s="13" t="s">
        <v>34</v>
      </c>
      <c r="DN5" s="33"/>
      <c r="DO5" s="13" t="s">
        <v>58</v>
      </c>
      <c r="DP5" s="13" t="s">
        <v>34</v>
      </c>
      <c r="DQ5" s="33"/>
      <c r="DR5" s="13" t="s">
        <v>59</v>
      </c>
      <c r="DS5" s="13" t="s">
        <v>34</v>
      </c>
      <c r="DT5" s="33"/>
      <c r="DU5" s="13" t="s">
        <v>56</v>
      </c>
      <c r="DV5" s="13" t="s">
        <v>34</v>
      </c>
      <c r="DW5" s="33"/>
      <c r="DX5" s="13" t="s">
        <v>66</v>
      </c>
      <c r="DY5" s="13" t="s">
        <v>34</v>
      </c>
      <c r="DZ5" s="27"/>
      <c r="EA5" s="13" t="s">
        <v>67</v>
      </c>
      <c r="EB5" s="13" t="s">
        <v>34</v>
      </c>
      <c r="EC5" s="27"/>
      <c r="ED5" s="13" t="s">
        <v>68</v>
      </c>
      <c r="EE5" s="13" t="s">
        <v>34</v>
      </c>
      <c r="EF5" s="33"/>
      <c r="EG5" s="13" t="s">
        <v>69</v>
      </c>
      <c r="EH5" s="13" t="s">
        <v>34</v>
      </c>
      <c r="EI5" s="33"/>
      <c r="EJ5" s="13" t="s">
        <v>112</v>
      </c>
      <c r="EK5" s="13" t="s">
        <v>34</v>
      </c>
      <c r="EL5" s="33"/>
      <c r="EM5" s="13" t="s">
        <v>70</v>
      </c>
      <c r="EN5" s="13" t="s">
        <v>34</v>
      </c>
      <c r="EO5" s="33"/>
      <c r="EP5" s="13" t="s">
        <v>7</v>
      </c>
      <c r="EQ5" s="13" t="s">
        <v>34</v>
      </c>
      <c r="ER5" s="33"/>
      <c r="ES5" s="13" t="s">
        <v>16</v>
      </c>
      <c r="ET5" s="13" t="s">
        <v>34</v>
      </c>
      <c r="EU5" s="33"/>
      <c r="EV5" s="13" t="s">
        <v>86</v>
      </c>
      <c r="EW5" s="13" t="s">
        <v>34</v>
      </c>
      <c r="EX5" s="33"/>
      <c r="EY5" s="13" t="s">
        <v>246</v>
      </c>
      <c r="EZ5" s="33"/>
      <c r="FA5" s="33"/>
      <c r="FB5" s="13" t="s">
        <v>10</v>
      </c>
      <c r="FC5" s="13" t="s">
        <v>34</v>
      </c>
      <c r="FD5" s="33"/>
      <c r="FE5" s="13" t="s">
        <v>11</v>
      </c>
      <c r="FF5" s="13" t="s">
        <v>34</v>
      </c>
      <c r="FG5" s="33"/>
      <c r="FH5" s="13" t="s">
        <v>21</v>
      </c>
      <c r="FI5" s="13" t="s">
        <v>34</v>
      </c>
      <c r="FJ5" s="33"/>
      <c r="FK5" s="13" t="s">
        <v>247</v>
      </c>
      <c r="FL5" s="33"/>
      <c r="FM5" s="27"/>
      <c r="FN5" s="13" t="s">
        <v>131</v>
      </c>
      <c r="FO5" s="13" t="s">
        <v>34</v>
      </c>
      <c r="FP5" s="27"/>
      <c r="FQ5" s="13" t="s">
        <v>83</v>
      </c>
      <c r="FR5" s="13" t="s">
        <v>34</v>
      </c>
      <c r="FS5" s="27"/>
      <c r="FT5" s="13" t="s">
        <v>8</v>
      </c>
      <c r="FU5" s="13" t="s">
        <v>34</v>
      </c>
      <c r="FV5" s="33"/>
      <c r="FW5" s="13" t="s">
        <v>284</v>
      </c>
      <c r="FX5" s="33"/>
      <c r="FY5" s="13"/>
      <c r="FZ5" s="27"/>
      <c r="GA5" s="27"/>
      <c r="GB5" s="27"/>
      <c r="GC5" s="27"/>
      <c r="GD5" s="91" t="s">
        <v>206</v>
      </c>
      <c r="GE5" s="23"/>
      <c r="GF5" s="23"/>
      <c r="GG5" s="23"/>
      <c r="GH5" s="23"/>
      <c r="GI5" s="23"/>
      <c r="GJ5" s="23"/>
      <c r="GK5" s="23"/>
      <c r="GL5" s="23"/>
      <c r="GM5" s="23"/>
      <c r="GN5" s="23"/>
    </row>
    <row r="6" spans="1:196" s="83" customFormat="1" x14ac:dyDescent="0.3">
      <c r="A6" s="4"/>
      <c r="B6" s="130" t="s">
        <v>15</v>
      </c>
      <c r="C6" s="139" t="s">
        <v>213</v>
      </c>
      <c r="D6" s="14" t="s">
        <v>122</v>
      </c>
      <c r="E6" s="42">
        <v>2</v>
      </c>
      <c r="F6" s="135">
        <v>2006</v>
      </c>
      <c r="G6" s="23"/>
      <c r="H6" s="24"/>
      <c r="I6" s="24"/>
      <c r="J6" s="25"/>
      <c r="K6" s="24"/>
      <c r="L6" s="24"/>
      <c r="M6" s="25"/>
      <c r="N6" s="24"/>
      <c r="O6" s="24"/>
      <c r="P6" s="25"/>
      <c r="Q6" s="26"/>
      <c r="R6" s="26"/>
      <c r="S6" s="25"/>
      <c r="T6" s="24"/>
      <c r="U6" s="24"/>
      <c r="V6" s="25"/>
      <c r="W6" s="24"/>
      <c r="X6" s="14"/>
      <c r="Y6" s="27"/>
      <c r="Z6" s="14"/>
      <c r="AA6" s="14"/>
      <c r="AB6" s="27"/>
      <c r="AC6" s="14"/>
      <c r="AD6" s="14"/>
      <c r="AE6" s="27"/>
      <c r="AF6" s="14"/>
      <c r="AG6" s="14"/>
      <c r="AH6" s="27"/>
      <c r="AI6" s="14"/>
      <c r="AJ6" s="14"/>
      <c r="AK6" s="27"/>
      <c r="AL6" s="14"/>
      <c r="AM6" s="14"/>
      <c r="AN6" s="27"/>
      <c r="AO6" s="30"/>
      <c r="AP6" s="30"/>
      <c r="AQ6" s="27"/>
      <c r="AR6" s="14"/>
      <c r="AS6" s="14"/>
      <c r="AT6" s="27"/>
      <c r="AU6" s="14"/>
      <c r="AV6" s="14"/>
      <c r="AW6" s="27"/>
      <c r="AX6" s="14"/>
      <c r="AY6" s="14"/>
      <c r="AZ6" s="27"/>
      <c r="BA6" s="14"/>
      <c r="BB6" s="14"/>
      <c r="BC6" s="27"/>
      <c r="BD6" s="14"/>
      <c r="BE6" s="14"/>
      <c r="BF6" s="27"/>
      <c r="BG6" s="14"/>
      <c r="BH6" s="14"/>
      <c r="BI6" s="27"/>
      <c r="BJ6" s="14"/>
      <c r="BK6" s="14"/>
      <c r="BL6" s="27"/>
      <c r="BM6" s="14"/>
      <c r="BN6" s="14"/>
      <c r="BO6" s="27"/>
      <c r="BP6" s="14"/>
      <c r="BQ6" s="14"/>
      <c r="BR6" s="27"/>
      <c r="BS6" s="14"/>
      <c r="BT6" s="14"/>
      <c r="BU6" s="27"/>
      <c r="BV6" s="114"/>
      <c r="BW6" s="114"/>
      <c r="BX6" s="27"/>
      <c r="BY6" s="114"/>
      <c r="BZ6" s="114"/>
      <c r="CA6" s="27"/>
      <c r="CB6" s="114"/>
      <c r="CC6" s="114"/>
      <c r="CD6" s="27"/>
      <c r="CE6" s="14"/>
      <c r="CF6" s="14"/>
      <c r="CG6" s="27"/>
      <c r="CH6" s="28"/>
      <c r="CI6" s="28"/>
      <c r="CJ6" s="27"/>
      <c r="CK6" s="30"/>
      <c r="CL6" s="30"/>
      <c r="CM6" s="27"/>
      <c r="CN6" s="37"/>
      <c r="CO6" s="37"/>
      <c r="CP6" s="27"/>
      <c r="CQ6" s="28"/>
      <c r="CR6" s="27"/>
      <c r="CS6" s="23"/>
      <c r="CT6" s="30"/>
      <c r="CU6" s="30"/>
      <c r="CV6" s="27"/>
      <c r="CW6" s="30"/>
      <c r="CX6" s="30"/>
      <c r="CY6" s="27"/>
      <c r="CZ6" s="32">
        <f>(29960000/244395)*(W3)*(105/79.6)</f>
        <v>113.19409297145521</v>
      </c>
      <c r="DA6" s="32" t="s">
        <v>79</v>
      </c>
      <c r="DB6" s="27"/>
      <c r="DC6" s="30"/>
      <c r="DD6" s="30"/>
      <c r="DE6" s="27"/>
      <c r="DF6" s="114"/>
      <c r="DG6" s="114"/>
      <c r="DH6" s="27"/>
      <c r="DI6" s="26"/>
      <c r="DJ6" s="26"/>
      <c r="DK6" s="25"/>
      <c r="DL6" s="24"/>
      <c r="DM6" s="24"/>
      <c r="DN6" s="25"/>
      <c r="DO6" s="24"/>
      <c r="DP6" s="24"/>
      <c r="DQ6" s="25"/>
      <c r="DR6" s="24"/>
      <c r="DS6" s="24"/>
      <c r="DT6" s="25"/>
      <c r="DU6" s="26">
        <f>(349630000/244395)*(W3)*(105/79.6)</f>
        <v>1320.9629748200896</v>
      </c>
      <c r="DV6" s="26" t="s">
        <v>79</v>
      </c>
      <c r="DW6" s="25"/>
      <c r="DX6" s="24"/>
      <c r="DY6" s="24"/>
      <c r="DZ6" s="25"/>
      <c r="EA6" s="24"/>
      <c r="EB6" s="24"/>
      <c r="EC6" s="25"/>
      <c r="ED6" s="24"/>
      <c r="EE6" s="24"/>
      <c r="EF6" s="25"/>
      <c r="EG6" s="24"/>
      <c r="EH6" s="24"/>
      <c r="EI6" s="25"/>
      <c r="EJ6" s="32"/>
      <c r="EK6" s="32"/>
      <c r="EL6" s="25"/>
      <c r="EM6" s="26"/>
      <c r="EN6" s="26"/>
      <c r="EO6" s="25"/>
      <c r="EP6" s="32">
        <f>(1413990000/244395)*(W3)*(130.6/91.8)</f>
        <v>5761.7254131751506</v>
      </c>
      <c r="EQ6" s="32" t="s">
        <v>79</v>
      </c>
      <c r="ER6" s="25"/>
      <c r="ES6" s="32">
        <f>(1525240000/244395)*(W3)*(130.6/91.8)</f>
        <v>6215.0468314424197</v>
      </c>
      <c r="ET6" s="32" t="s">
        <v>79</v>
      </c>
      <c r="EU6" s="25"/>
      <c r="EV6" s="24"/>
      <c r="EW6" s="24"/>
      <c r="EX6" s="25"/>
      <c r="EY6" s="118"/>
      <c r="EZ6" s="25"/>
      <c r="FA6" s="25"/>
      <c r="FB6" s="32"/>
      <c r="FC6" s="32"/>
      <c r="FD6" s="25"/>
      <c r="FE6" s="32">
        <f>(41840000/244395)*(W3)*(130.6/91.8)</f>
        <v>170.48960126114636</v>
      </c>
      <c r="FF6" s="32" t="s">
        <v>79</v>
      </c>
      <c r="FG6" s="25"/>
      <c r="FH6" s="32"/>
      <c r="FI6" s="32"/>
      <c r="FJ6" s="25"/>
      <c r="FK6" s="26"/>
      <c r="FL6" s="25"/>
      <c r="FM6" s="27"/>
      <c r="FN6" s="14"/>
      <c r="FO6" s="14"/>
      <c r="FP6" s="27"/>
      <c r="FQ6" s="14"/>
      <c r="FR6" s="14"/>
      <c r="FS6" s="27"/>
      <c r="FT6" s="24"/>
      <c r="FU6" s="24"/>
      <c r="FV6" s="25"/>
      <c r="FW6" s="26"/>
      <c r="FX6" s="25"/>
      <c r="FY6" s="31"/>
      <c r="FZ6" s="27"/>
      <c r="GA6" s="27"/>
      <c r="GB6" s="27"/>
      <c r="GC6" s="27"/>
      <c r="GD6" s="92" t="s">
        <v>201</v>
      </c>
      <c r="GE6" s="23">
        <v>0.64000000000000012</v>
      </c>
      <c r="GF6" s="23"/>
      <c r="GG6" s="23"/>
      <c r="GH6" s="23"/>
      <c r="GI6" s="23"/>
      <c r="GJ6" s="23"/>
      <c r="GK6" s="23"/>
      <c r="GL6" s="23"/>
      <c r="GM6" s="23"/>
      <c r="GN6" s="23"/>
    </row>
    <row r="7" spans="1:196" s="83" customFormat="1" x14ac:dyDescent="0.3">
      <c r="A7" s="4"/>
      <c r="B7" s="131"/>
      <c r="C7" s="136"/>
      <c r="D7" s="14" t="s">
        <v>17</v>
      </c>
      <c r="E7" s="42">
        <v>2</v>
      </c>
      <c r="F7" s="136"/>
      <c r="G7" s="23"/>
      <c r="H7" s="24"/>
      <c r="I7" s="24"/>
      <c r="J7" s="25"/>
      <c r="K7" s="24"/>
      <c r="L7" s="24"/>
      <c r="M7" s="25"/>
      <c r="N7" s="24"/>
      <c r="O7" s="24"/>
      <c r="P7" s="25"/>
      <c r="Q7" s="26"/>
      <c r="R7" s="26"/>
      <c r="S7" s="25"/>
      <c r="T7" s="24"/>
      <c r="U7" s="24"/>
      <c r="V7" s="25"/>
      <c r="W7" s="24"/>
      <c r="X7" s="14"/>
      <c r="Y7" s="27"/>
      <c r="Z7" s="14"/>
      <c r="AA7" s="14"/>
      <c r="AB7" s="27"/>
      <c r="AC7" s="14"/>
      <c r="AD7" s="14"/>
      <c r="AE7" s="27"/>
      <c r="AF7" s="14"/>
      <c r="AG7" s="14"/>
      <c r="AH7" s="27"/>
      <c r="AI7" s="14"/>
      <c r="AJ7" s="14"/>
      <c r="AK7" s="27"/>
      <c r="AL7" s="14"/>
      <c r="AM7" s="14"/>
      <c r="AN7" s="27"/>
      <c r="AO7" s="30"/>
      <c r="AP7" s="30"/>
      <c r="AQ7" s="27"/>
      <c r="AR7" s="14"/>
      <c r="AS7" s="14"/>
      <c r="AT7" s="27"/>
      <c r="AU7" s="14"/>
      <c r="AV7" s="14"/>
      <c r="AW7" s="27"/>
      <c r="AX7" s="14"/>
      <c r="AY7" s="14"/>
      <c r="AZ7" s="27"/>
      <c r="BA7" s="14"/>
      <c r="BB7" s="14"/>
      <c r="BC7" s="27"/>
      <c r="BD7" s="14"/>
      <c r="BE7" s="14"/>
      <c r="BF7" s="27"/>
      <c r="BG7" s="14"/>
      <c r="BH7" s="14"/>
      <c r="BI7" s="27"/>
      <c r="BJ7" s="14"/>
      <c r="BK7" s="14"/>
      <c r="BL7" s="27"/>
      <c r="BM7" s="14"/>
      <c r="BN7" s="14"/>
      <c r="BO7" s="27"/>
      <c r="BP7" s="14"/>
      <c r="BQ7" s="14"/>
      <c r="BR7" s="27"/>
      <c r="BS7" s="14"/>
      <c r="BT7" s="14"/>
      <c r="BU7" s="27"/>
      <c r="BV7" s="114"/>
      <c r="BW7" s="114"/>
      <c r="BX7" s="27"/>
      <c r="BY7" s="114"/>
      <c r="BZ7" s="114"/>
      <c r="CA7" s="27"/>
      <c r="CB7" s="114"/>
      <c r="CC7" s="114"/>
      <c r="CD7" s="27"/>
      <c r="CE7" s="14"/>
      <c r="CF7" s="14"/>
      <c r="CG7" s="27"/>
      <c r="CH7" s="28"/>
      <c r="CI7" s="28"/>
      <c r="CJ7" s="27"/>
      <c r="CK7" s="30"/>
      <c r="CL7" s="30"/>
      <c r="CM7" s="27"/>
      <c r="CN7" s="37"/>
      <c r="CO7" s="37"/>
      <c r="CP7" s="27"/>
      <c r="CQ7" s="28"/>
      <c r="CR7" s="27"/>
      <c r="CS7" s="23"/>
      <c r="CT7" s="30"/>
      <c r="CU7" s="30"/>
      <c r="CV7" s="27"/>
      <c r="CW7" s="30"/>
      <c r="CX7" s="30"/>
      <c r="CY7" s="27"/>
      <c r="CZ7" s="32"/>
      <c r="DA7" s="32"/>
      <c r="DB7" s="27"/>
      <c r="DC7" s="30"/>
      <c r="DD7" s="30"/>
      <c r="DE7" s="27"/>
      <c r="DF7" s="114"/>
      <c r="DG7" s="114"/>
      <c r="DH7" s="27"/>
      <c r="DI7" s="26"/>
      <c r="DJ7" s="26"/>
      <c r="DK7" s="25"/>
      <c r="DL7" s="24"/>
      <c r="DM7" s="24"/>
      <c r="DN7" s="25"/>
      <c r="DO7" s="24"/>
      <c r="DP7" s="24"/>
      <c r="DQ7" s="25"/>
      <c r="DR7" s="24"/>
      <c r="DS7" s="24"/>
      <c r="DT7" s="25"/>
      <c r="DU7" s="26"/>
      <c r="DV7" s="26"/>
      <c r="DW7" s="25"/>
      <c r="DX7" s="24"/>
      <c r="DY7" s="24"/>
      <c r="DZ7" s="25"/>
      <c r="EA7" s="24"/>
      <c r="EB7" s="24"/>
      <c r="EC7" s="25"/>
      <c r="ED7" s="24"/>
      <c r="EE7" s="24"/>
      <c r="EF7" s="25"/>
      <c r="EG7" s="24"/>
      <c r="EH7" s="24"/>
      <c r="EI7" s="25"/>
      <c r="EJ7" s="32"/>
      <c r="EK7" s="32"/>
      <c r="EL7" s="25"/>
      <c r="EM7" s="26"/>
      <c r="EN7" s="26"/>
      <c r="EO7" s="25"/>
      <c r="EP7" s="32">
        <f>(2825*2)*(W3)*(130.6/91.7)</f>
        <v>5632.7480916030527</v>
      </c>
      <c r="EQ7" s="32" t="s">
        <v>79</v>
      </c>
      <c r="ER7" s="25"/>
      <c r="ES7" s="32"/>
      <c r="ET7" s="32"/>
      <c r="EU7" s="25"/>
      <c r="EV7" s="24"/>
      <c r="EW7" s="24"/>
      <c r="EX7" s="25"/>
      <c r="EY7" s="118"/>
      <c r="EZ7" s="25"/>
      <c r="FA7" s="25"/>
      <c r="FB7" s="32">
        <f>(31817*2)*(W3)*(130.6/91.8)</f>
        <v>63370.591285403039</v>
      </c>
      <c r="FC7" s="32" t="s">
        <v>79</v>
      </c>
      <c r="FD7" s="25"/>
      <c r="FE7" s="32"/>
      <c r="FF7" s="32"/>
      <c r="FG7" s="25"/>
      <c r="FH7" s="32">
        <f>(7689*2)*(W3)*(105/79.6)</f>
        <v>14199.535175879397</v>
      </c>
      <c r="FI7" s="32" t="s">
        <v>79</v>
      </c>
      <c r="FJ7" s="25"/>
      <c r="FK7" s="26"/>
      <c r="FL7" s="25"/>
      <c r="FM7" s="27"/>
      <c r="FN7" s="14"/>
      <c r="FO7" s="14"/>
      <c r="FP7" s="27"/>
      <c r="FQ7" s="14"/>
      <c r="FR7" s="14"/>
      <c r="FS7" s="27"/>
      <c r="FT7" s="24"/>
      <c r="FU7" s="24"/>
      <c r="FV7" s="25"/>
      <c r="FW7" s="26"/>
      <c r="FX7" s="25"/>
      <c r="FY7" s="31"/>
      <c r="FZ7" s="27"/>
      <c r="GA7" s="27"/>
      <c r="GB7" s="27"/>
      <c r="GC7" s="27"/>
      <c r="GD7" s="92" t="s">
        <v>202</v>
      </c>
      <c r="GE7" s="23">
        <v>0.14699999999999999</v>
      </c>
      <c r="GF7" s="23"/>
      <c r="GG7" s="23"/>
      <c r="GH7" s="23"/>
      <c r="GI7" s="23"/>
      <c r="GJ7" s="23"/>
      <c r="GK7" s="23"/>
      <c r="GL7" s="23"/>
      <c r="GM7" s="23"/>
      <c r="GN7" s="23"/>
    </row>
    <row r="8" spans="1:196" s="83" customFormat="1" x14ac:dyDescent="0.3">
      <c r="A8" s="4"/>
      <c r="B8" s="131"/>
      <c r="C8" s="136"/>
      <c r="D8" s="14" t="s">
        <v>18</v>
      </c>
      <c r="E8" s="42">
        <v>2</v>
      </c>
      <c r="F8" s="136"/>
      <c r="G8" s="23"/>
      <c r="H8" s="24"/>
      <c r="I8" s="24"/>
      <c r="J8" s="25"/>
      <c r="K8" s="24"/>
      <c r="L8" s="24"/>
      <c r="M8" s="25"/>
      <c r="N8" s="24"/>
      <c r="O8" s="24"/>
      <c r="P8" s="25"/>
      <c r="Q8" s="26"/>
      <c r="R8" s="26"/>
      <c r="S8" s="25"/>
      <c r="T8" s="24"/>
      <c r="U8" s="24"/>
      <c r="V8" s="25"/>
      <c r="W8" s="24"/>
      <c r="X8" s="14"/>
      <c r="Y8" s="27"/>
      <c r="Z8" s="14"/>
      <c r="AA8" s="14"/>
      <c r="AB8" s="27"/>
      <c r="AC8" s="14"/>
      <c r="AD8" s="14"/>
      <c r="AE8" s="27"/>
      <c r="AF8" s="14"/>
      <c r="AG8" s="14"/>
      <c r="AH8" s="27"/>
      <c r="AI8" s="14"/>
      <c r="AJ8" s="14"/>
      <c r="AK8" s="27"/>
      <c r="AL8" s="14"/>
      <c r="AM8" s="14"/>
      <c r="AN8" s="27"/>
      <c r="AO8" s="30"/>
      <c r="AP8" s="30"/>
      <c r="AQ8" s="27"/>
      <c r="AR8" s="14"/>
      <c r="AS8" s="14"/>
      <c r="AT8" s="27"/>
      <c r="AU8" s="14"/>
      <c r="AV8" s="14"/>
      <c r="AW8" s="27"/>
      <c r="AX8" s="14"/>
      <c r="AY8" s="14"/>
      <c r="AZ8" s="27"/>
      <c r="BA8" s="14"/>
      <c r="BB8" s="14"/>
      <c r="BC8" s="27"/>
      <c r="BD8" s="14"/>
      <c r="BE8" s="14"/>
      <c r="BF8" s="27"/>
      <c r="BG8" s="14"/>
      <c r="BH8" s="14"/>
      <c r="BI8" s="27"/>
      <c r="BJ8" s="14"/>
      <c r="BK8" s="14"/>
      <c r="BL8" s="27"/>
      <c r="BM8" s="14"/>
      <c r="BN8" s="14"/>
      <c r="BO8" s="27"/>
      <c r="BP8" s="14"/>
      <c r="BQ8" s="14"/>
      <c r="BR8" s="27"/>
      <c r="BS8" s="14"/>
      <c r="BT8" s="14"/>
      <c r="BU8" s="27"/>
      <c r="BV8" s="114"/>
      <c r="BW8" s="114"/>
      <c r="BX8" s="27"/>
      <c r="BY8" s="114"/>
      <c r="BZ8" s="114"/>
      <c r="CA8" s="27"/>
      <c r="CB8" s="114"/>
      <c r="CC8" s="114"/>
      <c r="CD8" s="27"/>
      <c r="CE8" s="14"/>
      <c r="CF8" s="14"/>
      <c r="CG8" s="27"/>
      <c r="CH8" s="28"/>
      <c r="CI8" s="28"/>
      <c r="CJ8" s="27"/>
      <c r="CK8" s="30"/>
      <c r="CL8" s="30"/>
      <c r="CM8" s="27"/>
      <c r="CN8" s="37"/>
      <c r="CO8" s="37"/>
      <c r="CP8" s="27"/>
      <c r="CQ8" s="28"/>
      <c r="CR8" s="27"/>
      <c r="CS8" s="23"/>
      <c r="CT8" s="30"/>
      <c r="CU8" s="30"/>
      <c r="CV8" s="27"/>
      <c r="CW8" s="30"/>
      <c r="CX8" s="30"/>
      <c r="CY8" s="27"/>
      <c r="CZ8" s="32"/>
      <c r="DA8" s="32"/>
      <c r="DB8" s="27"/>
      <c r="DC8" s="30"/>
      <c r="DD8" s="30"/>
      <c r="DE8" s="27"/>
      <c r="DF8" s="114"/>
      <c r="DG8" s="114"/>
      <c r="DH8" s="27"/>
      <c r="DI8" s="26"/>
      <c r="DJ8" s="26"/>
      <c r="DK8" s="25"/>
      <c r="DL8" s="24"/>
      <c r="DM8" s="24"/>
      <c r="DN8" s="25"/>
      <c r="DO8" s="24"/>
      <c r="DP8" s="24"/>
      <c r="DQ8" s="25"/>
      <c r="DR8" s="24"/>
      <c r="DS8" s="24"/>
      <c r="DT8" s="25"/>
      <c r="DU8" s="26"/>
      <c r="DV8" s="26"/>
      <c r="DW8" s="25"/>
      <c r="DX8" s="24"/>
      <c r="DY8" s="24"/>
      <c r="DZ8" s="25"/>
      <c r="EA8" s="24"/>
      <c r="EB8" s="24"/>
      <c r="EC8" s="25"/>
      <c r="ED8" s="24"/>
      <c r="EE8" s="24"/>
      <c r="EF8" s="25"/>
      <c r="EG8" s="24"/>
      <c r="EH8" s="24"/>
      <c r="EI8" s="25"/>
      <c r="EJ8" s="32"/>
      <c r="EK8" s="32"/>
      <c r="EL8" s="25"/>
      <c r="EM8" s="26"/>
      <c r="EN8" s="26"/>
      <c r="EO8" s="25"/>
      <c r="EP8" s="32">
        <f>(2232*2)*(W3)*(130.6/91.8)</f>
        <v>4445.5215686274505</v>
      </c>
      <c r="EQ8" s="32" t="s">
        <v>79</v>
      </c>
      <c r="ER8" s="25"/>
      <c r="ES8" s="32"/>
      <c r="ET8" s="32"/>
      <c r="EU8" s="25"/>
      <c r="EV8" s="24"/>
      <c r="EW8" s="24"/>
      <c r="EX8" s="25"/>
      <c r="EY8" s="118"/>
      <c r="EZ8" s="25"/>
      <c r="FA8" s="25"/>
      <c r="FB8" s="32">
        <f>(37786*2)*(W3)*(130.6/91.8)</f>
        <v>75259.174727668826</v>
      </c>
      <c r="FC8" s="32" t="s">
        <v>79</v>
      </c>
      <c r="FD8" s="25"/>
      <c r="FE8" s="32"/>
      <c r="FF8" s="32"/>
      <c r="FG8" s="25"/>
      <c r="FH8" s="32">
        <f>(12533*2)*(W3)*(105/79.6)</f>
        <v>23145.11306532663</v>
      </c>
      <c r="FI8" s="32" t="s">
        <v>79</v>
      </c>
      <c r="FJ8" s="25"/>
      <c r="FK8" s="26"/>
      <c r="FL8" s="25"/>
      <c r="FM8" s="27"/>
      <c r="FN8" s="14"/>
      <c r="FO8" s="14"/>
      <c r="FP8" s="27"/>
      <c r="FQ8" s="14"/>
      <c r="FR8" s="14"/>
      <c r="FS8" s="27"/>
      <c r="FT8" s="24"/>
      <c r="FU8" s="24"/>
      <c r="FV8" s="25"/>
      <c r="FW8" s="26"/>
      <c r="FX8" s="25"/>
      <c r="FY8" s="31"/>
      <c r="FZ8" s="27"/>
      <c r="GA8" s="27"/>
      <c r="GB8" s="27"/>
      <c r="GC8" s="27"/>
      <c r="GD8" s="92" t="s">
        <v>203</v>
      </c>
      <c r="GE8" s="23">
        <v>6.9000000000000006E-2</v>
      </c>
      <c r="GF8" s="23"/>
      <c r="GG8" s="23"/>
      <c r="GH8" s="23"/>
      <c r="GI8" s="23"/>
      <c r="GJ8" s="23"/>
      <c r="GK8" s="23"/>
      <c r="GL8" s="23"/>
      <c r="GM8" s="23"/>
      <c r="GN8" s="23"/>
    </row>
    <row r="9" spans="1:196" s="83" customFormat="1" x14ac:dyDescent="0.3">
      <c r="A9" s="4"/>
      <c r="B9" s="131"/>
      <c r="C9" s="136"/>
      <c r="D9" s="14" t="s">
        <v>19</v>
      </c>
      <c r="E9" s="42">
        <v>2</v>
      </c>
      <c r="F9" s="136"/>
      <c r="G9" s="23"/>
      <c r="H9" s="24"/>
      <c r="I9" s="24"/>
      <c r="J9" s="25"/>
      <c r="K9" s="24"/>
      <c r="L9" s="24"/>
      <c r="M9" s="25"/>
      <c r="N9" s="24"/>
      <c r="O9" s="24"/>
      <c r="P9" s="25"/>
      <c r="Q9" s="26"/>
      <c r="R9" s="26"/>
      <c r="S9" s="25"/>
      <c r="T9" s="24"/>
      <c r="U9" s="24"/>
      <c r="V9" s="25"/>
      <c r="W9" s="24"/>
      <c r="X9" s="14"/>
      <c r="Y9" s="27"/>
      <c r="Z9" s="14"/>
      <c r="AA9" s="14"/>
      <c r="AB9" s="27"/>
      <c r="AC9" s="14"/>
      <c r="AD9" s="14"/>
      <c r="AE9" s="27"/>
      <c r="AF9" s="14"/>
      <c r="AG9" s="14"/>
      <c r="AH9" s="27"/>
      <c r="AI9" s="14"/>
      <c r="AJ9" s="14"/>
      <c r="AK9" s="27"/>
      <c r="AL9" s="14"/>
      <c r="AM9" s="14"/>
      <c r="AN9" s="27"/>
      <c r="AO9" s="30"/>
      <c r="AP9" s="30"/>
      <c r="AQ9" s="27"/>
      <c r="AR9" s="14"/>
      <c r="AS9" s="14"/>
      <c r="AT9" s="27"/>
      <c r="AU9" s="14"/>
      <c r="AV9" s="14"/>
      <c r="AW9" s="27"/>
      <c r="AX9" s="14"/>
      <c r="AY9" s="14"/>
      <c r="AZ9" s="27"/>
      <c r="BA9" s="14"/>
      <c r="BB9" s="14"/>
      <c r="BC9" s="27"/>
      <c r="BD9" s="14"/>
      <c r="BE9" s="14"/>
      <c r="BF9" s="27"/>
      <c r="BG9" s="14"/>
      <c r="BH9" s="14"/>
      <c r="BI9" s="27"/>
      <c r="BJ9" s="14"/>
      <c r="BK9" s="14"/>
      <c r="BL9" s="27"/>
      <c r="BM9" s="14"/>
      <c r="BN9" s="14"/>
      <c r="BO9" s="27"/>
      <c r="BP9" s="14"/>
      <c r="BQ9" s="14"/>
      <c r="BR9" s="27"/>
      <c r="BS9" s="14"/>
      <c r="BT9" s="14"/>
      <c r="BU9" s="27"/>
      <c r="BV9" s="114"/>
      <c r="BW9" s="114"/>
      <c r="BX9" s="27"/>
      <c r="BY9" s="114"/>
      <c r="BZ9" s="114"/>
      <c r="CA9" s="27"/>
      <c r="CB9" s="114"/>
      <c r="CC9" s="114"/>
      <c r="CD9" s="27"/>
      <c r="CE9" s="14"/>
      <c r="CF9" s="14"/>
      <c r="CG9" s="27"/>
      <c r="CH9" s="28"/>
      <c r="CI9" s="28"/>
      <c r="CJ9" s="27"/>
      <c r="CK9" s="30"/>
      <c r="CL9" s="30"/>
      <c r="CM9" s="27"/>
      <c r="CN9" s="37"/>
      <c r="CO9" s="37"/>
      <c r="CP9" s="27"/>
      <c r="CQ9" s="28"/>
      <c r="CR9" s="27"/>
      <c r="CS9" s="23"/>
      <c r="CT9" s="30"/>
      <c r="CU9" s="30"/>
      <c r="CV9" s="27"/>
      <c r="CW9" s="30"/>
      <c r="CX9" s="30"/>
      <c r="CY9" s="27"/>
      <c r="CZ9" s="32"/>
      <c r="DA9" s="32"/>
      <c r="DB9" s="27"/>
      <c r="DC9" s="30"/>
      <c r="DD9" s="30"/>
      <c r="DE9" s="27"/>
      <c r="DF9" s="114"/>
      <c r="DG9" s="114"/>
      <c r="DH9" s="27"/>
      <c r="DI9" s="26"/>
      <c r="DJ9" s="26"/>
      <c r="DK9" s="25"/>
      <c r="DL9" s="24"/>
      <c r="DM9" s="24"/>
      <c r="DN9" s="25"/>
      <c r="DO9" s="24"/>
      <c r="DP9" s="24"/>
      <c r="DQ9" s="25"/>
      <c r="DR9" s="24"/>
      <c r="DS9" s="24"/>
      <c r="DT9" s="25"/>
      <c r="DU9" s="26"/>
      <c r="DV9" s="26"/>
      <c r="DW9" s="25"/>
      <c r="DX9" s="24"/>
      <c r="DY9" s="24"/>
      <c r="DZ9" s="25"/>
      <c r="EA9" s="24"/>
      <c r="EB9" s="24"/>
      <c r="EC9" s="25"/>
      <c r="ED9" s="24"/>
      <c r="EE9" s="24"/>
      <c r="EF9" s="25"/>
      <c r="EG9" s="24"/>
      <c r="EH9" s="24"/>
      <c r="EI9" s="25"/>
      <c r="EJ9" s="32"/>
      <c r="EK9" s="32"/>
      <c r="EL9" s="25"/>
      <c r="EM9" s="26"/>
      <c r="EN9" s="26"/>
      <c r="EO9" s="25"/>
      <c r="EP9" s="32">
        <f>(3349*2)*(W3)*(130.6/91.8)</f>
        <v>6670.2740740740728</v>
      </c>
      <c r="EQ9" s="32" t="s">
        <v>79</v>
      </c>
      <c r="ER9" s="25"/>
      <c r="ES9" s="32"/>
      <c r="ET9" s="32"/>
      <c r="EU9" s="25"/>
      <c r="EV9" s="24"/>
      <c r="EW9" s="24"/>
      <c r="EX9" s="25"/>
      <c r="EY9" s="118"/>
      <c r="EZ9" s="25"/>
      <c r="FA9" s="25"/>
      <c r="FB9" s="32">
        <f>(52494*2)*(W3)*(130.6/91.8)</f>
        <v>104553.40915032678</v>
      </c>
      <c r="FC9" s="32" t="s">
        <v>79</v>
      </c>
      <c r="FD9" s="25"/>
      <c r="FE9" s="32"/>
      <c r="FF9" s="32"/>
      <c r="FG9" s="25"/>
      <c r="FH9" s="32">
        <f>(8984*2)*(W3)*(105/79.6)</f>
        <v>16591.055276381911</v>
      </c>
      <c r="FI9" s="32" t="s">
        <v>79</v>
      </c>
      <c r="FJ9" s="25"/>
      <c r="FK9" s="26"/>
      <c r="FL9" s="25"/>
      <c r="FM9" s="27"/>
      <c r="FN9" s="14"/>
      <c r="FO9" s="14"/>
      <c r="FP9" s="27"/>
      <c r="FQ9" s="14"/>
      <c r="FR9" s="14"/>
      <c r="FS9" s="27"/>
      <c r="FT9" s="24"/>
      <c r="FU9" s="24"/>
      <c r="FV9" s="25"/>
      <c r="FW9" s="26"/>
      <c r="FX9" s="25"/>
      <c r="FY9" s="31"/>
      <c r="FZ9" s="27"/>
      <c r="GA9" s="27"/>
      <c r="GB9" s="27"/>
      <c r="GC9" s="27"/>
      <c r="GD9" s="92" t="s">
        <v>204</v>
      </c>
      <c r="GE9" s="23">
        <v>8.7999999999999995E-2</v>
      </c>
      <c r="GF9" s="23"/>
      <c r="GG9" s="23"/>
      <c r="GH9" s="23"/>
      <c r="GI9" s="23"/>
      <c r="GJ9" s="23"/>
      <c r="GK9" s="23"/>
      <c r="GL9" s="23"/>
      <c r="GM9" s="23"/>
      <c r="GN9" s="23"/>
    </row>
    <row r="10" spans="1:196" s="83" customFormat="1" x14ac:dyDescent="0.3">
      <c r="A10" s="4"/>
      <c r="B10" s="131"/>
      <c r="C10" s="136"/>
      <c r="D10" s="14" t="s">
        <v>20</v>
      </c>
      <c r="E10" s="42">
        <v>2</v>
      </c>
      <c r="F10" s="136"/>
      <c r="G10" s="23"/>
      <c r="H10" s="24"/>
      <c r="I10" s="24"/>
      <c r="J10" s="25"/>
      <c r="K10" s="24"/>
      <c r="L10" s="24"/>
      <c r="M10" s="25"/>
      <c r="N10" s="24"/>
      <c r="O10" s="24"/>
      <c r="P10" s="25"/>
      <c r="Q10" s="26"/>
      <c r="R10" s="26"/>
      <c r="S10" s="25"/>
      <c r="T10" s="24"/>
      <c r="U10" s="24"/>
      <c r="V10" s="27"/>
      <c r="W10" s="14"/>
      <c r="X10" s="14"/>
      <c r="Y10" s="27"/>
      <c r="Z10" s="14"/>
      <c r="AA10" s="14"/>
      <c r="AB10" s="27"/>
      <c r="AC10" s="14"/>
      <c r="AD10" s="14"/>
      <c r="AE10" s="27"/>
      <c r="AF10" s="14"/>
      <c r="AG10" s="14"/>
      <c r="AH10" s="27"/>
      <c r="AI10" s="14"/>
      <c r="AJ10" s="14"/>
      <c r="AK10" s="27"/>
      <c r="AL10" s="14"/>
      <c r="AM10" s="14"/>
      <c r="AN10" s="27"/>
      <c r="AO10" s="30"/>
      <c r="AP10" s="30"/>
      <c r="AQ10" s="27"/>
      <c r="AR10" s="14"/>
      <c r="AS10" s="14"/>
      <c r="AT10" s="27"/>
      <c r="AU10" s="14"/>
      <c r="AV10" s="14"/>
      <c r="AW10" s="27"/>
      <c r="AX10" s="14"/>
      <c r="AY10" s="14"/>
      <c r="AZ10" s="27"/>
      <c r="BA10" s="14"/>
      <c r="BB10" s="14"/>
      <c r="BC10" s="27"/>
      <c r="BD10" s="14"/>
      <c r="BE10" s="14"/>
      <c r="BF10" s="27"/>
      <c r="BG10" s="14"/>
      <c r="BH10" s="14"/>
      <c r="BI10" s="27"/>
      <c r="BJ10" s="14"/>
      <c r="BK10" s="14"/>
      <c r="BL10" s="27"/>
      <c r="BM10" s="14"/>
      <c r="BN10" s="14"/>
      <c r="BO10" s="27"/>
      <c r="BP10" s="14"/>
      <c r="BQ10" s="14"/>
      <c r="BR10" s="27"/>
      <c r="BS10" s="14"/>
      <c r="BT10" s="14"/>
      <c r="BU10" s="27"/>
      <c r="BV10" s="114"/>
      <c r="BW10" s="114"/>
      <c r="BX10" s="27"/>
      <c r="BY10" s="114"/>
      <c r="BZ10" s="114"/>
      <c r="CA10" s="27"/>
      <c r="CB10" s="114"/>
      <c r="CC10" s="114"/>
      <c r="CD10" s="27"/>
      <c r="CE10" s="14"/>
      <c r="CF10" s="14"/>
      <c r="CG10" s="27"/>
      <c r="CH10" s="28"/>
      <c r="CI10" s="28"/>
      <c r="CJ10" s="27"/>
      <c r="CK10" s="30"/>
      <c r="CL10" s="30"/>
      <c r="CM10" s="27"/>
      <c r="CN10" s="37"/>
      <c r="CO10" s="37"/>
      <c r="CP10" s="27"/>
      <c r="CQ10" s="28"/>
      <c r="CR10" s="27"/>
      <c r="CS10" s="23"/>
      <c r="CT10" s="30"/>
      <c r="CU10" s="30"/>
      <c r="CV10" s="27"/>
      <c r="CW10" s="30"/>
      <c r="CX10" s="30"/>
      <c r="CY10" s="27"/>
      <c r="CZ10" s="32"/>
      <c r="DA10" s="32"/>
      <c r="DB10" s="27"/>
      <c r="DC10" s="30"/>
      <c r="DD10" s="30"/>
      <c r="DE10" s="27"/>
      <c r="DF10" s="114"/>
      <c r="DG10" s="114"/>
      <c r="DH10" s="27"/>
      <c r="DI10" s="28"/>
      <c r="DJ10" s="28"/>
      <c r="DK10" s="27"/>
      <c r="DL10" s="14"/>
      <c r="DM10" s="14"/>
      <c r="DN10" s="27"/>
      <c r="DO10" s="14"/>
      <c r="DP10" s="14"/>
      <c r="DQ10" s="27"/>
      <c r="DR10" s="14"/>
      <c r="DS10" s="14"/>
      <c r="DT10" s="27"/>
      <c r="DU10" s="28"/>
      <c r="DV10" s="28"/>
      <c r="DW10" s="27"/>
      <c r="DX10" s="14"/>
      <c r="DY10" s="14"/>
      <c r="DZ10" s="27"/>
      <c r="EA10" s="14"/>
      <c r="EB10" s="14"/>
      <c r="EC10" s="27"/>
      <c r="ED10" s="14"/>
      <c r="EE10" s="14"/>
      <c r="EF10" s="27"/>
      <c r="EG10" s="14"/>
      <c r="EH10" s="14"/>
      <c r="EI10" s="27"/>
      <c r="EJ10" s="37"/>
      <c r="EK10" s="37"/>
      <c r="EL10" s="27"/>
      <c r="EM10" s="28"/>
      <c r="EN10" s="28"/>
      <c r="EO10" s="27"/>
      <c r="EP10" s="32">
        <f>(887*2)*(W3)*(130.6/91.8)</f>
        <v>1766.6566448801741</v>
      </c>
      <c r="EQ10" s="32" t="s">
        <v>79</v>
      </c>
      <c r="ER10" s="27"/>
      <c r="ES10" s="39"/>
      <c r="ET10" s="39"/>
      <c r="EU10" s="27"/>
      <c r="EV10" s="14"/>
      <c r="EW10" s="14"/>
      <c r="EX10" s="27"/>
      <c r="EY10" s="119"/>
      <c r="EZ10" s="27"/>
      <c r="FA10" s="27"/>
      <c r="FB10" s="32">
        <f>(20896*2)*(W3)*(130.6/91.8)</f>
        <v>41619.004793028318</v>
      </c>
      <c r="FC10" s="32" t="s">
        <v>79</v>
      </c>
      <c r="FD10" s="25"/>
      <c r="FE10" s="39"/>
      <c r="FF10" s="39"/>
      <c r="FG10" s="27"/>
      <c r="FH10" s="32">
        <f>(13546*2)*(W3)*(105/79.6)</f>
        <v>25015.854271356784</v>
      </c>
      <c r="FI10" s="32" t="s">
        <v>79</v>
      </c>
      <c r="FJ10" s="25"/>
      <c r="FK10" s="26"/>
      <c r="FL10" s="25"/>
      <c r="FM10" s="27"/>
      <c r="FN10" s="14"/>
      <c r="FO10" s="14"/>
      <c r="FP10" s="27"/>
      <c r="FQ10" s="14"/>
      <c r="FR10" s="14"/>
      <c r="FS10" s="27"/>
      <c r="FT10" s="14"/>
      <c r="FU10" s="14"/>
      <c r="FV10" s="27"/>
      <c r="FW10" s="28"/>
      <c r="FX10" s="27"/>
      <c r="FY10" s="23"/>
      <c r="FZ10" s="27"/>
      <c r="GA10" s="27"/>
      <c r="GB10" s="27"/>
      <c r="GC10" s="27"/>
      <c r="GD10" s="92" t="s">
        <v>205</v>
      </c>
      <c r="GE10" s="23">
        <v>5.5000000000000007E-2</v>
      </c>
      <c r="GF10" s="23"/>
      <c r="GG10" s="23"/>
      <c r="GH10" s="23"/>
      <c r="GI10" s="23"/>
      <c r="GJ10" s="23"/>
      <c r="GK10" s="23"/>
      <c r="GL10" s="23"/>
      <c r="GM10" s="23"/>
      <c r="GN10" s="23"/>
    </row>
    <row r="11" spans="1:196" s="83" customFormat="1" ht="14.5" x14ac:dyDescent="0.3">
      <c r="A11" s="4"/>
      <c r="B11" s="35"/>
      <c r="C11" s="35"/>
      <c r="D11" s="23"/>
      <c r="E11" s="43"/>
      <c r="F11" s="23"/>
      <c r="G11" s="23"/>
      <c r="H11" s="31"/>
      <c r="I11" s="31"/>
      <c r="J11" s="25"/>
      <c r="K11" s="31"/>
      <c r="L11" s="31"/>
      <c r="M11" s="25"/>
      <c r="N11" s="31"/>
      <c r="O11" s="31"/>
      <c r="P11" s="25"/>
      <c r="Q11" s="31"/>
      <c r="R11" s="31"/>
      <c r="S11" s="25"/>
      <c r="T11" s="31"/>
      <c r="U11" s="31"/>
      <c r="V11" s="27"/>
      <c r="W11" s="23"/>
      <c r="X11" s="23"/>
      <c r="Y11" s="27"/>
      <c r="Z11" s="23"/>
      <c r="AA11" s="23"/>
      <c r="AB11" s="27"/>
      <c r="AC11" s="23"/>
      <c r="AD11" s="23"/>
      <c r="AE11" s="27"/>
      <c r="AF11" s="23"/>
      <c r="AG11" s="23"/>
      <c r="AH11" s="27"/>
      <c r="AI11" s="23"/>
      <c r="AJ11" s="23"/>
      <c r="AK11" s="27"/>
      <c r="AL11" s="23"/>
      <c r="AM11" s="23"/>
      <c r="AN11" s="27"/>
      <c r="AO11" s="31"/>
      <c r="AP11" s="31"/>
      <c r="AQ11" s="27"/>
      <c r="AR11" s="23"/>
      <c r="AS11" s="23"/>
      <c r="AT11" s="27"/>
      <c r="AU11" s="23"/>
      <c r="AV11" s="23"/>
      <c r="AW11" s="27"/>
      <c r="AX11" s="23"/>
      <c r="AY11" s="23"/>
      <c r="AZ11" s="27"/>
      <c r="BA11" s="23"/>
      <c r="BB11" s="23"/>
      <c r="BC11" s="27"/>
      <c r="BD11" s="23"/>
      <c r="BE11" s="23"/>
      <c r="BF11" s="27"/>
      <c r="BG11" s="23"/>
      <c r="BH11" s="23"/>
      <c r="BI11" s="27"/>
      <c r="BJ11" s="23"/>
      <c r="BK11" s="23"/>
      <c r="BL11" s="27"/>
      <c r="BM11" s="23"/>
      <c r="BN11" s="23"/>
      <c r="BO11" s="27"/>
      <c r="BP11" s="23"/>
      <c r="BQ11" s="23"/>
      <c r="BR11" s="27"/>
      <c r="BS11" s="23"/>
      <c r="BT11" s="23"/>
      <c r="BU11" s="27"/>
      <c r="BV11" s="23"/>
      <c r="BW11" s="23"/>
      <c r="BX11" s="27"/>
      <c r="BY11" s="23"/>
      <c r="BZ11" s="23"/>
      <c r="CA11" s="27"/>
      <c r="CB11" s="23"/>
      <c r="CC11" s="23"/>
      <c r="CD11" s="27"/>
      <c r="CE11" s="23"/>
      <c r="CF11" s="23"/>
      <c r="CG11" s="27"/>
      <c r="CH11" s="23"/>
      <c r="CI11" s="23"/>
      <c r="CJ11" s="27"/>
      <c r="CK11" s="23"/>
      <c r="CL11" s="23"/>
      <c r="CM11" s="27"/>
      <c r="CN11" s="23"/>
      <c r="CO11" s="23"/>
      <c r="CP11" s="27"/>
      <c r="CQ11" s="23"/>
      <c r="CR11" s="27"/>
      <c r="CS11" s="23"/>
      <c r="CT11" s="23"/>
      <c r="CU11" s="23"/>
      <c r="CV11" s="27"/>
      <c r="CW11" s="23"/>
      <c r="CX11" s="23"/>
      <c r="CY11" s="27"/>
      <c r="CZ11" s="23"/>
      <c r="DA11" s="23"/>
      <c r="DB11" s="27"/>
      <c r="DC11" s="23"/>
      <c r="DD11" s="23"/>
      <c r="DE11" s="27"/>
      <c r="DF11" s="23"/>
      <c r="DG11" s="23"/>
      <c r="DH11" s="27"/>
      <c r="DI11" s="23"/>
      <c r="DJ11" s="23"/>
      <c r="DK11" s="27"/>
      <c r="DL11" s="23"/>
      <c r="DM11" s="23"/>
      <c r="DN11" s="27"/>
      <c r="DO11" s="23"/>
      <c r="DP11" s="23"/>
      <c r="DQ11" s="27"/>
      <c r="DR11" s="23"/>
      <c r="DS11" s="23"/>
      <c r="DT11" s="27"/>
      <c r="DU11" s="23"/>
      <c r="DV11" s="23"/>
      <c r="DW11" s="27"/>
      <c r="DX11" s="23"/>
      <c r="DY11" s="23"/>
      <c r="DZ11" s="27"/>
      <c r="EA11" s="23"/>
      <c r="EB11" s="23"/>
      <c r="EC11" s="27"/>
      <c r="ED11" s="23"/>
      <c r="EE11" s="23"/>
      <c r="EF11" s="27"/>
      <c r="EG11" s="23"/>
      <c r="EH11" s="23"/>
      <c r="EI11" s="27"/>
      <c r="EJ11" s="23"/>
      <c r="EK11" s="23"/>
      <c r="EL11" s="27"/>
      <c r="EM11" s="23"/>
      <c r="EN11" s="23"/>
      <c r="EO11" s="27"/>
      <c r="EP11" s="23"/>
      <c r="EQ11" s="23"/>
      <c r="ER11" s="27"/>
      <c r="ES11" s="23"/>
      <c r="ET11" s="23"/>
      <c r="EU11" s="27"/>
      <c r="EV11" s="23"/>
      <c r="EW11" s="23"/>
      <c r="EX11" s="27"/>
      <c r="EY11" s="23"/>
      <c r="EZ11" s="27"/>
      <c r="FA11" s="27"/>
      <c r="FB11" s="23"/>
      <c r="FC11" s="23"/>
      <c r="FD11" s="27"/>
      <c r="FE11" s="23"/>
      <c r="FF11" s="23"/>
      <c r="FG11" s="27"/>
      <c r="FH11" s="23"/>
      <c r="FI11" s="23"/>
      <c r="FJ11" s="27"/>
      <c r="FK11" s="23"/>
      <c r="FL11" s="27"/>
      <c r="FM11" s="27"/>
      <c r="FN11" s="23"/>
      <c r="FO11" s="23"/>
      <c r="FP11" s="27"/>
      <c r="FQ11" s="23"/>
      <c r="FR11" s="23"/>
      <c r="FS11" s="27"/>
      <c r="FT11" s="23"/>
      <c r="FU11" s="23"/>
      <c r="FV11" s="27"/>
      <c r="FW11" s="23"/>
      <c r="FX11" s="27"/>
      <c r="FY11" s="23"/>
      <c r="FZ11" s="27"/>
      <c r="GA11" s="27"/>
      <c r="GB11" s="27"/>
      <c r="GC11" s="27"/>
      <c r="GD11" s="83" t="s">
        <v>207</v>
      </c>
      <c r="GE11" s="83">
        <f>SUM(GE7:GE10)</f>
        <v>0.35899999999999999</v>
      </c>
    </row>
    <row r="12" spans="1:196" s="83" customFormat="1" x14ac:dyDescent="0.3">
      <c r="A12" s="4"/>
      <c r="B12" s="132" t="s">
        <v>25</v>
      </c>
      <c r="C12" s="139" t="s">
        <v>214</v>
      </c>
      <c r="D12" s="14" t="s">
        <v>121</v>
      </c>
      <c r="E12" s="42">
        <v>2</v>
      </c>
      <c r="F12" s="135">
        <v>2010</v>
      </c>
      <c r="G12" s="23"/>
      <c r="H12" s="24"/>
      <c r="I12" s="24"/>
      <c r="J12" s="25"/>
      <c r="K12" s="24"/>
      <c r="L12" s="24"/>
      <c r="M12" s="25"/>
      <c r="N12" s="24"/>
      <c r="O12" s="24"/>
      <c r="P12" s="25"/>
      <c r="Q12" s="26"/>
      <c r="R12" s="26"/>
      <c r="S12" s="25"/>
      <c r="T12" s="24"/>
      <c r="U12" s="24"/>
      <c r="V12" s="27"/>
      <c r="W12" s="14"/>
      <c r="X12" s="14"/>
      <c r="Y12" s="27"/>
      <c r="Z12" s="14"/>
      <c r="AA12" s="14"/>
      <c r="AB12" s="27"/>
      <c r="AC12" s="14"/>
      <c r="AD12" s="14"/>
      <c r="AE12" s="27"/>
      <c r="AF12" s="14"/>
      <c r="AG12" s="14"/>
      <c r="AH12" s="27"/>
      <c r="AI12" s="14"/>
      <c r="AJ12" s="14"/>
      <c r="AK12" s="27"/>
      <c r="AL12" s="14"/>
      <c r="AM12" s="14"/>
      <c r="AN12" s="27"/>
      <c r="AO12" s="30"/>
      <c r="AP12" s="30"/>
      <c r="AQ12" s="27"/>
      <c r="AR12" s="14"/>
      <c r="AS12" s="14"/>
      <c r="AT12" s="27"/>
      <c r="AU12" s="14"/>
      <c r="AV12" s="14"/>
      <c r="AW12" s="27"/>
      <c r="AX12" s="14"/>
      <c r="AY12" s="14"/>
      <c r="AZ12" s="27"/>
      <c r="BA12" s="14"/>
      <c r="BB12" s="14"/>
      <c r="BC12" s="27"/>
      <c r="BD12" s="14"/>
      <c r="BE12" s="14"/>
      <c r="BF12" s="27"/>
      <c r="BG12" s="14"/>
      <c r="BH12" s="14"/>
      <c r="BI12" s="27"/>
      <c r="BJ12" s="14"/>
      <c r="BK12" s="14"/>
      <c r="BL12" s="27"/>
      <c r="BM12" s="14"/>
      <c r="BN12" s="14"/>
      <c r="BO12" s="27"/>
      <c r="BP12" s="14"/>
      <c r="BQ12" s="14"/>
      <c r="BR12" s="27"/>
      <c r="BS12" s="14"/>
      <c r="BT12" s="14"/>
      <c r="BU12" s="27"/>
      <c r="BV12" s="114"/>
      <c r="BW12" s="114"/>
      <c r="BX12" s="27"/>
      <c r="BY12" s="114"/>
      <c r="BZ12" s="114"/>
      <c r="CA12" s="27"/>
      <c r="CB12" s="114"/>
      <c r="CC12" s="114"/>
      <c r="CD12" s="27"/>
      <c r="CE12" s="14"/>
      <c r="CF12" s="14"/>
      <c r="CG12" s="27"/>
      <c r="CH12" s="28"/>
      <c r="CI12" s="28"/>
      <c r="CJ12" s="27"/>
      <c r="CK12" s="30"/>
      <c r="CL12" s="30"/>
      <c r="CM12" s="27"/>
      <c r="CN12" s="37"/>
      <c r="CO12" s="37"/>
      <c r="CP12" s="27"/>
      <c r="CQ12" s="28"/>
      <c r="CR12" s="27"/>
      <c r="CS12" s="23"/>
      <c r="CT12" s="30"/>
      <c r="CU12" s="30"/>
      <c r="CV12" s="27"/>
      <c r="CW12" s="30"/>
      <c r="CX12" s="30"/>
      <c r="CY12" s="27"/>
      <c r="CZ12" s="30"/>
      <c r="DA12" s="30"/>
      <c r="DB12" s="27"/>
      <c r="DC12" s="30"/>
      <c r="DD12" s="30"/>
      <c r="DE12" s="27"/>
      <c r="DF12" s="114"/>
      <c r="DG12" s="114"/>
      <c r="DH12" s="27"/>
      <c r="DI12" s="26">
        <f>(172000*Q3)*(105.9/90.9)</f>
        <v>262501.51815181517</v>
      </c>
      <c r="DJ12" s="26"/>
      <c r="DK12" s="25"/>
      <c r="DL12" s="24"/>
      <c r="DM12" s="24"/>
      <c r="DN12" s="25"/>
      <c r="DO12" s="24"/>
      <c r="DP12" s="24"/>
      <c r="DQ12" s="25"/>
      <c r="DR12" s="24"/>
      <c r="DS12" s="24"/>
      <c r="DT12" s="25"/>
      <c r="DU12" s="26"/>
      <c r="DV12" s="26"/>
      <c r="DW12" s="25"/>
      <c r="DX12" s="24"/>
      <c r="DY12" s="24"/>
      <c r="DZ12" s="25"/>
      <c r="EA12" s="24"/>
      <c r="EB12" s="24"/>
      <c r="EC12" s="25"/>
      <c r="ED12" s="24"/>
      <c r="EE12" s="24"/>
      <c r="EF12" s="25"/>
      <c r="EG12" s="24"/>
      <c r="EH12" s="24"/>
      <c r="EI12" s="25"/>
      <c r="EJ12" s="32"/>
      <c r="EK12" s="32"/>
      <c r="EL12" s="25"/>
      <c r="EM12" s="26"/>
      <c r="EN12" s="26"/>
      <c r="EO12" s="25"/>
      <c r="EP12" s="24"/>
      <c r="EQ12" s="24"/>
      <c r="ER12" s="25"/>
      <c r="ES12" s="24"/>
      <c r="ET12" s="24"/>
      <c r="EU12" s="25"/>
      <c r="EV12" s="24"/>
      <c r="EW12" s="24"/>
      <c r="EX12" s="25"/>
      <c r="EY12" s="118"/>
      <c r="EZ12" s="25"/>
      <c r="FA12" s="25"/>
      <c r="FB12" s="24"/>
      <c r="FC12" s="24"/>
      <c r="FD12" s="25"/>
      <c r="FE12" s="24"/>
      <c r="FF12" s="24"/>
      <c r="FG12" s="25"/>
      <c r="FH12" s="24"/>
      <c r="FI12" s="24"/>
      <c r="FJ12" s="25"/>
      <c r="FK12" s="26"/>
      <c r="FL12" s="25"/>
      <c r="FM12" s="25"/>
      <c r="FN12" s="24"/>
      <c r="FO12" s="24"/>
      <c r="FP12" s="25"/>
      <c r="FQ12" s="24"/>
      <c r="FR12" s="24"/>
      <c r="FS12" s="25"/>
      <c r="FT12" s="24"/>
      <c r="FU12" s="24"/>
      <c r="FV12" s="25"/>
      <c r="FW12" s="26"/>
      <c r="FX12" s="25"/>
      <c r="FY12" s="31"/>
      <c r="FZ12" s="25"/>
      <c r="GA12" s="25"/>
      <c r="GB12" s="25"/>
      <c r="GC12" s="25"/>
      <c r="GD12" s="83" t="s">
        <v>208</v>
      </c>
      <c r="GE12" s="83">
        <f>GE7+GE8</f>
        <v>0.216</v>
      </c>
    </row>
    <row r="13" spans="1:196" s="83" customFormat="1" x14ac:dyDescent="0.3">
      <c r="A13" s="4"/>
      <c r="B13" s="133"/>
      <c r="C13" s="136"/>
      <c r="D13" s="14" t="s">
        <v>23</v>
      </c>
      <c r="E13" s="42">
        <v>2</v>
      </c>
      <c r="F13" s="136"/>
      <c r="G13" s="23"/>
      <c r="H13" s="24"/>
      <c r="I13" s="24"/>
      <c r="J13" s="25"/>
      <c r="K13" s="24"/>
      <c r="L13" s="24"/>
      <c r="M13" s="25"/>
      <c r="N13" s="24"/>
      <c r="O13" s="24"/>
      <c r="P13" s="25"/>
      <c r="Q13" s="26"/>
      <c r="R13" s="26"/>
      <c r="S13" s="25"/>
      <c r="T13" s="24"/>
      <c r="U13" s="24"/>
      <c r="V13" s="27"/>
      <c r="W13" s="14"/>
      <c r="X13" s="14"/>
      <c r="Y13" s="27"/>
      <c r="Z13" s="14"/>
      <c r="AA13" s="14"/>
      <c r="AB13" s="27"/>
      <c r="AC13" s="14"/>
      <c r="AD13" s="14"/>
      <c r="AE13" s="27"/>
      <c r="AF13" s="14"/>
      <c r="AG13" s="14"/>
      <c r="AH13" s="27"/>
      <c r="AI13" s="14"/>
      <c r="AJ13" s="14"/>
      <c r="AK13" s="27"/>
      <c r="AL13" s="14"/>
      <c r="AM13" s="14"/>
      <c r="AN13" s="27"/>
      <c r="AO13" s="30"/>
      <c r="AP13" s="30"/>
      <c r="AQ13" s="27"/>
      <c r="AR13" s="14"/>
      <c r="AS13" s="14"/>
      <c r="AT13" s="27"/>
      <c r="AU13" s="14"/>
      <c r="AV13" s="14"/>
      <c r="AW13" s="27"/>
      <c r="AX13" s="14"/>
      <c r="AY13" s="14"/>
      <c r="AZ13" s="27"/>
      <c r="BA13" s="14"/>
      <c r="BB13" s="14"/>
      <c r="BC13" s="27"/>
      <c r="BD13" s="14"/>
      <c r="BE13" s="14"/>
      <c r="BF13" s="27"/>
      <c r="BG13" s="14"/>
      <c r="BH13" s="14"/>
      <c r="BI13" s="27"/>
      <c r="BJ13" s="14"/>
      <c r="BK13" s="14"/>
      <c r="BL13" s="27"/>
      <c r="BM13" s="14"/>
      <c r="BN13" s="14"/>
      <c r="BO13" s="27"/>
      <c r="BP13" s="14"/>
      <c r="BQ13" s="14"/>
      <c r="BR13" s="27"/>
      <c r="BS13" s="14"/>
      <c r="BT13" s="14"/>
      <c r="BU13" s="27"/>
      <c r="BV13" s="114"/>
      <c r="BW13" s="114"/>
      <c r="BX13" s="27"/>
      <c r="BY13" s="114"/>
      <c r="BZ13" s="114"/>
      <c r="CA13" s="27"/>
      <c r="CB13" s="114"/>
      <c r="CC13" s="114"/>
      <c r="CD13" s="27"/>
      <c r="CE13" s="14"/>
      <c r="CF13" s="14"/>
      <c r="CG13" s="27"/>
      <c r="CH13" s="28"/>
      <c r="CI13" s="28"/>
      <c r="CJ13" s="27"/>
      <c r="CK13" s="30"/>
      <c r="CL13" s="30"/>
      <c r="CM13" s="27"/>
      <c r="CN13" s="37"/>
      <c r="CO13" s="37"/>
      <c r="CP13" s="27"/>
      <c r="CQ13" s="28"/>
      <c r="CR13" s="27"/>
      <c r="CS13" s="23"/>
      <c r="CT13" s="30"/>
      <c r="CU13" s="30"/>
      <c r="CV13" s="27"/>
      <c r="CW13" s="30"/>
      <c r="CX13" s="30"/>
      <c r="CY13" s="27"/>
      <c r="CZ13" s="30"/>
      <c r="DA13" s="30"/>
      <c r="DB13" s="27"/>
      <c r="DC13" s="30"/>
      <c r="DD13" s="30"/>
      <c r="DE13" s="27"/>
      <c r="DF13" s="114"/>
      <c r="DG13" s="114"/>
      <c r="DH13" s="27"/>
      <c r="DI13" s="26">
        <f>(190000*Q3)*(105.9/90.9)</f>
        <v>289972.6072607261</v>
      </c>
      <c r="DJ13" s="26"/>
      <c r="DK13" s="25"/>
      <c r="DL13" s="24"/>
      <c r="DM13" s="24"/>
      <c r="DN13" s="25"/>
      <c r="DO13" s="24"/>
      <c r="DP13" s="24"/>
      <c r="DQ13" s="25"/>
      <c r="DR13" s="24"/>
      <c r="DS13" s="24"/>
      <c r="DT13" s="25"/>
      <c r="DU13" s="26"/>
      <c r="DV13" s="26"/>
      <c r="DW13" s="25"/>
      <c r="DX13" s="24"/>
      <c r="DY13" s="24"/>
      <c r="DZ13" s="25"/>
      <c r="EA13" s="24"/>
      <c r="EB13" s="24"/>
      <c r="EC13" s="25"/>
      <c r="ED13" s="24"/>
      <c r="EE13" s="24"/>
      <c r="EF13" s="25"/>
      <c r="EG13" s="24"/>
      <c r="EH13" s="24"/>
      <c r="EI13" s="25"/>
      <c r="EJ13" s="32"/>
      <c r="EK13" s="32"/>
      <c r="EL13" s="25"/>
      <c r="EM13" s="26"/>
      <c r="EN13" s="26"/>
      <c r="EO13" s="25"/>
      <c r="EP13" s="24"/>
      <c r="EQ13" s="24"/>
      <c r="ER13" s="25"/>
      <c r="ES13" s="24"/>
      <c r="ET13" s="24"/>
      <c r="EU13" s="25"/>
      <c r="EV13" s="24"/>
      <c r="EW13" s="24"/>
      <c r="EX13" s="25"/>
      <c r="EY13" s="118"/>
      <c r="EZ13" s="25"/>
      <c r="FA13" s="25"/>
      <c r="FB13" s="24"/>
      <c r="FC13" s="24"/>
      <c r="FD13" s="25"/>
      <c r="FE13" s="24"/>
      <c r="FF13" s="24"/>
      <c r="FG13" s="25"/>
      <c r="FH13" s="24"/>
      <c r="FI13" s="24"/>
      <c r="FJ13" s="25"/>
      <c r="FK13" s="26"/>
      <c r="FL13" s="25"/>
      <c r="FM13" s="25"/>
      <c r="FN13" s="24"/>
      <c r="FO13" s="24"/>
      <c r="FP13" s="25"/>
      <c r="FQ13" s="24"/>
      <c r="FR13" s="24"/>
      <c r="FS13" s="25"/>
      <c r="FT13" s="24"/>
      <c r="FU13" s="24"/>
      <c r="FV13" s="25"/>
      <c r="FW13" s="26"/>
      <c r="FX13" s="25"/>
      <c r="FY13" s="31"/>
      <c r="FZ13" s="25"/>
      <c r="GA13" s="25"/>
      <c r="GB13" s="25"/>
      <c r="GC13" s="25"/>
      <c r="GD13" s="83" t="s">
        <v>209</v>
      </c>
      <c r="GE13" s="83">
        <f>GE9/2</f>
        <v>4.3999999999999997E-2</v>
      </c>
    </row>
    <row r="14" spans="1:196" s="83" customFormat="1" x14ac:dyDescent="0.3">
      <c r="A14" s="4"/>
      <c r="B14" s="133"/>
      <c r="C14" s="136"/>
      <c r="D14" s="14" t="s">
        <v>24</v>
      </c>
      <c r="E14" s="42">
        <v>2</v>
      </c>
      <c r="F14" s="136"/>
      <c r="G14" s="23"/>
      <c r="H14" s="24"/>
      <c r="I14" s="24"/>
      <c r="J14" s="25"/>
      <c r="K14" s="24"/>
      <c r="L14" s="24"/>
      <c r="M14" s="25"/>
      <c r="N14" s="24"/>
      <c r="O14" s="24"/>
      <c r="P14" s="25"/>
      <c r="Q14" s="26"/>
      <c r="R14" s="26"/>
      <c r="S14" s="25"/>
      <c r="T14" s="24"/>
      <c r="U14" s="24"/>
      <c r="V14" s="27"/>
      <c r="W14" s="14"/>
      <c r="X14" s="14"/>
      <c r="Y14" s="27"/>
      <c r="Z14" s="14"/>
      <c r="AA14" s="14"/>
      <c r="AB14" s="27"/>
      <c r="AC14" s="14"/>
      <c r="AD14" s="14"/>
      <c r="AE14" s="27"/>
      <c r="AF14" s="14"/>
      <c r="AG14" s="14"/>
      <c r="AH14" s="27"/>
      <c r="AI14" s="14"/>
      <c r="AJ14" s="14"/>
      <c r="AK14" s="27"/>
      <c r="AL14" s="14"/>
      <c r="AM14" s="14"/>
      <c r="AN14" s="27"/>
      <c r="AO14" s="30"/>
      <c r="AP14" s="30"/>
      <c r="AQ14" s="27"/>
      <c r="AR14" s="14"/>
      <c r="AS14" s="14"/>
      <c r="AT14" s="27"/>
      <c r="AU14" s="14"/>
      <c r="AV14" s="14"/>
      <c r="AW14" s="27"/>
      <c r="AX14" s="14"/>
      <c r="AY14" s="14"/>
      <c r="AZ14" s="27"/>
      <c r="BA14" s="14"/>
      <c r="BB14" s="14"/>
      <c r="BC14" s="27"/>
      <c r="BD14" s="14"/>
      <c r="BE14" s="14"/>
      <c r="BF14" s="27"/>
      <c r="BG14" s="14"/>
      <c r="BH14" s="14"/>
      <c r="BI14" s="27"/>
      <c r="BJ14" s="14"/>
      <c r="BK14" s="14"/>
      <c r="BL14" s="27"/>
      <c r="BM14" s="14"/>
      <c r="BN14" s="14"/>
      <c r="BO14" s="27"/>
      <c r="BP14" s="14"/>
      <c r="BQ14" s="14"/>
      <c r="BR14" s="27"/>
      <c r="BS14" s="14"/>
      <c r="BT14" s="14"/>
      <c r="BU14" s="27"/>
      <c r="BV14" s="114"/>
      <c r="BW14" s="114"/>
      <c r="BX14" s="27"/>
      <c r="BY14" s="114"/>
      <c r="BZ14" s="114"/>
      <c r="CA14" s="27"/>
      <c r="CB14" s="114"/>
      <c r="CC14" s="114"/>
      <c r="CD14" s="27"/>
      <c r="CE14" s="14"/>
      <c r="CF14" s="14"/>
      <c r="CG14" s="27"/>
      <c r="CH14" s="28"/>
      <c r="CI14" s="28"/>
      <c r="CJ14" s="27"/>
      <c r="CK14" s="30"/>
      <c r="CL14" s="30"/>
      <c r="CM14" s="27"/>
      <c r="CN14" s="37"/>
      <c r="CO14" s="37"/>
      <c r="CP14" s="27"/>
      <c r="CQ14" s="28"/>
      <c r="CR14" s="27"/>
      <c r="CS14" s="23"/>
      <c r="CT14" s="30"/>
      <c r="CU14" s="30"/>
      <c r="CV14" s="27"/>
      <c r="CW14" s="30"/>
      <c r="CX14" s="30"/>
      <c r="CY14" s="27"/>
      <c r="CZ14" s="30"/>
      <c r="DA14" s="30"/>
      <c r="DB14" s="27"/>
      <c r="DC14" s="30"/>
      <c r="DD14" s="30"/>
      <c r="DE14" s="27"/>
      <c r="DF14" s="114"/>
      <c r="DG14" s="114"/>
      <c r="DH14" s="27"/>
      <c r="DI14" s="26">
        <f>(157000*Q3)*(105.9/90.9)</f>
        <v>239608.94389438943</v>
      </c>
      <c r="DJ14" s="26"/>
      <c r="DK14" s="25"/>
      <c r="DL14" s="24"/>
      <c r="DM14" s="24"/>
      <c r="DN14" s="25"/>
      <c r="DO14" s="24"/>
      <c r="DP14" s="24"/>
      <c r="DQ14" s="25"/>
      <c r="DR14" s="24"/>
      <c r="DS14" s="24"/>
      <c r="DT14" s="25"/>
      <c r="DU14" s="26"/>
      <c r="DV14" s="26"/>
      <c r="DW14" s="25"/>
      <c r="DX14" s="24"/>
      <c r="DY14" s="24"/>
      <c r="DZ14" s="25"/>
      <c r="EA14" s="24"/>
      <c r="EB14" s="24"/>
      <c r="EC14" s="25"/>
      <c r="ED14" s="24"/>
      <c r="EE14" s="24"/>
      <c r="EF14" s="25"/>
      <c r="EG14" s="24"/>
      <c r="EH14" s="24"/>
      <c r="EI14" s="25"/>
      <c r="EJ14" s="32"/>
      <c r="EK14" s="32"/>
      <c r="EL14" s="25"/>
      <c r="EM14" s="26"/>
      <c r="EN14" s="26"/>
      <c r="EO14" s="25"/>
      <c r="EP14" s="24"/>
      <c r="EQ14" s="24"/>
      <c r="ER14" s="25"/>
      <c r="ES14" s="24"/>
      <c r="ET14" s="24"/>
      <c r="EU14" s="25"/>
      <c r="EV14" s="24"/>
      <c r="EW14" s="24"/>
      <c r="EX14" s="25"/>
      <c r="EY14" s="118"/>
      <c r="EZ14" s="25"/>
      <c r="FA14" s="25"/>
      <c r="FB14" s="24"/>
      <c r="FC14" s="24"/>
      <c r="FD14" s="25"/>
      <c r="FE14" s="24"/>
      <c r="FF14" s="24"/>
      <c r="FG14" s="25"/>
      <c r="FH14" s="24"/>
      <c r="FI14" s="24"/>
      <c r="FJ14" s="25"/>
      <c r="FK14" s="26"/>
      <c r="FL14" s="25"/>
      <c r="FM14" s="25"/>
      <c r="FN14" s="24"/>
      <c r="FO14" s="24"/>
      <c r="FP14" s="25"/>
      <c r="FQ14" s="24"/>
      <c r="FR14" s="24"/>
      <c r="FS14" s="25"/>
      <c r="FT14" s="24"/>
      <c r="FU14" s="24"/>
      <c r="FV14" s="25"/>
      <c r="FW14" s="26"/>
      <c r="FX14" s="25"/>
      <c r="FY14" s="31"/>
      <c r="FZ14" s="25"/>
      <c r="GA14" s="25"/>
      <c r="GB14" s="25"/>
      <c r="GC14" s="25"/>
      <c r="GD14" s="83" t="s">
        <v>210</v>
      </c>
      <c r="GE14" s="83">
        <f>GE9/2</f>
        <v>4.3999999999999997E-2</v>
      </c>
    </row>
    <row r="15" spans="1:196" s="83" customFormat="1" x14ac:dyDescent="0.3">
      <c r="A15" s="4"/>
      <c r="B15" s="134"/>
      <c r="C15" s="136"/>
      <c r="D15" s="14" t="s">
        <v>26</v>
      </c>
      <c r="E15" s="42">
        <v>2</v>
      </c>
      <c r="F15" s="136"/>
      <c r="G15" s="23"/>
      <c r="H15" s="24"/>
      <c r="I15" s="24"/>
      <c r="J15" s="25"/>
      <c r="K15" s="24"/>
      <c r="L15" s="24"/>
      <c r="M15" s="25"/>
      <c r="N15" s="24"/>
      <c r="O15" s="24"/>
      <c r="P15" s="25"/>
      <c r="Q15" s="26"/>
      <c r="R15" s="26"/>
      <c r="S15" s="25"/>
      <c r="T15" s="24"/>
      <c r="U15" s="24"/>
      <c r="V15" s="27"/>
      <c r="W15" s="14"/>
      <c r="X15" s="14"/>
      <c r="Y15" s="27"/>
      <c r="Z15" s="14"/>
      <c r="AA15" s="14"/>
      <c r="AB15" s="27"/>
      <c r="AC15" s="14"/>
      <c r="AD15" s="14"/>
      <c r="AE15" s="27"/>
      <c r="AF15" s="14"/>
      <c r="AG15" s="14"/>
      <c r="AH15" s="27"/>
      <c r="AI15" s="14"/>
      <c r="AJ15" s="14"/>
      <c r="AK15" s="27"/>
      <c r="AL15" s="14"/>
      <c r="AM15" s="14"/>
      <c r="AN15" s="27"/>
      <c r="AO15" s="30"/>
      <c r="AP15" s="30"/>
      <c r="AQ15" s="27"/>
      <c r="AR15" s="14"/>
      <c r="AS15" s="14"/>
      <c r="AT15" s="27"/>
      <c r="AU15" s="14"/>
      <c r="AV15" s="14"/>
      <c r="AW15" s="27"/>
      <c r="AX15" s="14"/>
      <c r="AY15" s="14"/>
      <c r="AZ15" s="27"/>
      <c r="BA15" s="14"/>
      <c r="BB15" s="14"/>
      <c r="BC15" s="27"/>
      <c r="BD15" s="14"/>
      <c r="BE15" s="14"/>
      <c r="BF15" s="27"/>
      <c r="BG15" s="14"/>
      <c r="BH15" s="14"/>
      <c r="BI15" s="27"/>
      <c r="BJ15" s="14"/>
      <c r="BK15" s="14"/>
      <c r="BL15" s="27"/>
      <c r="BM15" s="14"/>
      <c r="BN15" s="14"/>
      <c r="BO15" s="27"/>
      <c r="BP15" s="14"/>
      <c r="BQ15" s="14"/>
      <c r="BR15" s="27"/>
      <c r="BS15" s="14"/>
      <c r="BT15" s="14"/>
      <c r="BU15" s="27"/>
      <c r="BV15" s="114"/>
      <c r="BW15" s="114"/>
      <c r="BX15" s="27"/>
      <c r="BY15" s="114"/>
      <c r="BZ15" s="114"/>
      <c r="CA15" s="27"/>
      <c r="CB15" s="114"/>
      <c r="CC15" s="114"/>
      <c r="CD15" s="27"/>
      <c r="CE15" s="14"/>
      <c r="CF15" s="14"/>
      <c r="CG15" s="27"/>
      <c r="CH15" s="28"/>
      <c r="CI15" s="28"/>
      <c r="CJ15" s="27"/>
      <c r="CK15" s="30"/>
      <c r="CL15" s="30"/>
      <c r="CM15" s="27"/>
      <c r="CN15" s="37"/>
      <c r="CO15" s="37"/>
      <c r="CP15" s="27"/>
      <c r="CQ15" s="28"/>
      <c r="CR15" s="27"/>
      <c r="CS15" s="23"/>
      <c r="CT15" s="30"/>
      <c r="CU15" s="30"/>
      <c r="CV15" s="27"/>
      <c r="CW15" s="30"/>
      <c r="CX15" s="30"/>
      <c r="CY15" s="27"/>
      <c r="CZ15" s="30"/>
      <c r="DA15" s="30"/>
      <c r="DB15" s="27"/>
      <c r="DC15" s="30"/>
      <c r="DD15" s="30"/>
      <c r="DE15" s="27"/>
      <c r="DF15" s="114"/>
      <c r="DG15" s="114"/>
      <c r="DH15" s="27"/>
      <c r="DI15" s="26">
        <f>(149000*Q3)*(105.9/90.9)</f>
        <v>227399.57095709571</v>
      </c>
      <c r="DJ15" s="26"/>
      <c r="DK15" s="25"/>
      <c r="DL15" s="24"/>
      <c r="DM15" s="24"/>
      <c r="DN15" s="25"/>
      <c r="DO15" s="24"/>
      <c r="DP15" s="24"/>
      <c r="DQ15" s="25"/>
      <c r="DR15" s="24"/>
      <c r="DS15" s="24"/>
      <c r="DT15" s="25"/>
      <c r="DU15" s="26"/>
      <c r="DV15" s="26"/>
      <c r="DW15" s="25"/>
      <c r="DX15" s="24"/>
      <c r="DY15" s="24"/>
      <c r="DZ15" s="25"/>
      <c r="EA15" s="24"/>
      <c r="EB15" s="24"/>
      <c r="EC15" s="25"/>
      <c r="ED15" s="24"/>
      <c r="EE15" s="24"/>
      <c r="EF15" s="25"/>
      <c r="EG15" s="24"/>
      <c r="EH15" s="24"/>
      <c r="EI15" s="25"/>
      <c r="EJ15" s="32"/>
      <c r="EK15" s="32"/>
      <c r="EL15" s="25"/>
      <c r="EM15" s="26"/>
      <c r="EN15" s="26"/>
      <c r="EO15" s="25"/>
      <c r="EP15" s="24"/>
      <c r="EQ15" s="24"/>
      <c r="ER15" s="25"/>
      <c r="ES15" s="24"/>
      <c r="ET15" s="24"/>
      <c r="EU15" s="25"/>
      <c r="EV15" s="24"/>
      <c r="EW15" s="24"/>
      <c r="EX15" s="25"/>
      <c r="EY15" s="118"/>
      <c r="EZ15" s="25"/>
      <c r="FA15" s="25"/>
      <c r="FB15" s="24"/>
      <c r="FC15" s="24"/>
      <c r="FD15" s="25"/>
      <c r="FE15" s="24"/>
      <c r="FF15" s="24"/>
      <c r="FG15" s="25"/>
      <c r="FH15" s="24"/>
      <c r="FI15" s="24"/>
      <c r="FJ15" s="25"/>
      <c r="FK15" s="26"/>
      <c r="FL15" s="25"/>
      <c r="FM15" s="25"/>
      <c r="FN15" s="24"/>
      <c r="FO15" s="24"/>
      <c r="FP15" s="25"/>
      <c r="FQ15" s="24"/>
      <c r="FR15" s="24"/>
      <c r="FS15" s="25"/>
      <c r="FT15" s="24"/>
      <c r="FU15" s="24"/>
      <c r="FV15" s="25"/>
      <c r="FW15" s="26"/>
      <c r="FX15" s="25"/>
      <c r="FY15" s="31"/>
      <c r="FZ15" s="25"/>
      <c r="GA15" s="25"/>
      <c r="GB15" s="25"/>
      <c r="GC15" s="25"/>
    </row>
    <row r="16" spans="1:196" s="83" customFormat="1" x14ac:dyDescent="0.3">
      <c r="A16" s="4"/>
      <c r="B16" s="134"/>
      <c r="C16" s="136"/>
      <c r="D16" s="14" t="s">
        <v>27</v>
      </c>
      <c r="E16" s="42">
        <v>2</v>
      </c>
      <c r="F16" s="136"/>
      <c r="G16" s="23"/>
      <c r="H16" s="24"/>
      <c r="I16" s="24"/>
      <c r="J16" s="25"/>
      <c r="K16" s="24"/>
      <c r="L16" s="24"/>
      <c r="M16" s="25"/>
      <c r="N16" s="24"/>
      <c r="O16" s="24"/>
      <c r="P16" s="25"/>
      <c r="Q16" s="26"/>
      <c r="R16" s="26"/>
      <c r="S16" s="25"/>
      <c r="T16" s="24"/>
      <c r="U16" s="24"/>
      <c r="V16" s="27"/>
      <c r="W16" s="14"/>
      <c r="X16" s="14"/>
      <c r="Y16" s="27"/>
      <c r="Z16" s="14"/>
      <c r="AA16" s="14"/>
      <c r="AB16" s="27"/>
      <c r="AC16" s="14"/>
      <c r="AD16" s="14"/>
      <c r="AE16" s="27"/>
      <c r="AF16" s="14"/>
      <c r="AG16" s="14"/>
      <c r="AH16" s="27"/>
      <c r="AI16" s="14"/>
      <c r="AJ16" s="14"/>
      <c r="AK16" s="27"/>
      <c r="AL16" s="14"/>
      <c r="AM16" s="14"/>
      <c r="AN16" s="27"/>
      <c r="AO16" s="30"/>
      <c r="AP16" s="30"/>
      <c r="AQ16" s="27"/>
      <c r="AR16" s="14"/>
      <c r="AS16" s="14"/>
      <c r="AT16" s="27"/>
      <c r="AU16" s="14"/>
      <c r="AV16" s="14"/>
      <c r="AW16" s="27"/>
      <c r="AX16" s="14"/>
      <c r="AY16" s="14"/>
      <c r="AZ16" s="27"/>
      <c r="BA16" s="14"/>
      <c r="BB16" s="14"/>
      <c r="BC16" s="27"/>
      <c r="BD16" s="14"/>
      <c r="BE16" s="14"/>
      <c r="BF16" s="27"/>
      <c r="BG16" s="14"/>
      <c r="BH16" s="14"/>
      <c r="BI16" s="27"/>
      <c r="BJ16" s="14"/>
      <c r="BK16" s="14"/>
      <c r="BL16" s="27"/>
      <c r="BM16" s="14"/>
      <c r="BN16" s="14"/>
      <c r="BO16" s="27"/>
      <c r="BP16" s="14"/>
      <c r="BQ16" s="14"/>
      <c r="BR16" s="27"/>
      <c r="BS16" s="14"/>
      <c r="BT16" s="14"/>
      <c r="BU16" s="27"/>
      <c r="BV16" s="114"/>
      <c r="BW16" s="114"/>
      <c r="BX16" s="27"/>
      <c r="BY16" s="114"/>
      <c r="BZ16" s="114"/>
      <c r="CA16" s="27"/>
      <c r="CB16" s="114"/>
      <c r="CC16" s="114"/>
      <c r="CD16" s="27"/>
      <c r="CE16" s="14"/>
      <c r="CF16" s="14"/>
      <c r="CG16" s="27"/>
      <c r="CH16" s="28"/>
      <c r="CI16" s="28"/>
      <c r="CJ16" s="27"/>
      <c r="CK16" s="30"/>
      <c r="CL16" s="30"/>
      <c r="CM16" s="27"/>
      <c r="CN16" s="37"/>
      <c r="CO16" s="37"/>
      <c r="CP16" s="27"/>
      <c r="CQ16" s="28"/>
      <c r="CR16" s="27"/>
      <c r="CS16" s="23"/>
      <c r="CT16" s="30"/>
      <c r="CU16" s="30"/>
      <c r="CV16" s="27"/>
      <c r="CW16" s="30"/>
      <c r="CX16" s="30"/>
      <c r="CY16" s="27"/>
      <c r="CZ16" s="30"/>
      <c r="DA16" s="30"/>
      <c r="DB16" s="27"/>
      <c r="DC16" s="30"/>
      <c r="DD16" s="30"/>
      <c r="DE16" s="27"/>
      <c r="DF16" s="114"/>
      <c r="DG16" s="114"/>
      <c r="DH16" s="27"/>
      <c r="DI16" s="26">
        <f>(181000*Q3)*(105.9/90.9)</f>
        <v>276237.0627062706</v>
      </c>
      <c r="DJ16" s="26"/>
      <c r="DK16" s="25"/>
      <c r="DL16" s="24"/>
      <c r="DM16" s="24"/>
      <c r="DN16" s="25"/>
      <c r="DO16" s="24"/>
      <c r="DP16" s="24"/>
      <c r="DQ16" s="25"/>
      <c r="DR16" s="24"/>
      <c r="DS16" s="24"/>
      <c r="DT16" s="25"/>
      <c r="DU16" s="26"/>
      <c r="DV16" s="26"/>
      <c r="DW16" s="25"/>
      <c r="DX16" s="24"/>
      <c r="DY16" s="24"/>
      <c r="DZ16" s="25"/>
      <c r="EA16" s="24"/>
      <c r="EB16" s="24"/>
      <c r="EC16" s="25"/>
      <c r="ED16" s="24"/>
      <c r="EE16" s="24"/>
      <c r="EF16" s="25"/>
      <c r="EG16" s="24"/>
      <c r="EH16" s="24"/>
      <c r="EI16" s="25"/>
      <c r="EJ16" s="32"/>
      <c r="EK16" s="32"/>
      <c r="EL16" s="25"/>
      <c r="EM16" s="26"/>
      <c r="EN16" s="26"/>
      <c r="EO16" s="25"/>
      <c r="EP16" s="24"/>
      <c r="EQ16" s="24"/>
      <c r="ER16" s="25"/>
      <c r="ES16" s="24"/>
      <c r="ET16" s="24"/>
      <c r="EU16" s="25"/>
      <c r="EV16" s="24"/>
      <c r="EW16" s="24"/>
      <c r="EX16" s="25"/>
      <c r="EY16" s="118"/>
      <c r="EZ16" s="25"/>
      <c r="FA16" s="25"/>
      <c r="FB16" s="24"/>
      <c r="FC16" s="24"/>
      <c r="FD16" s="25"/>
      <c r="FE16" s="24"/>
      <c r="FF16" s="24"/>
      <c r="FG16" s="25"/>
      <c r="FH16" s="24"/>
      <c r="FI16" s="24"/>
      <c r="FJ16" s="25"/>
      <c r="FK16" s="26"/>
      <c r="FL16" s="25"/>
      <c r="FM16" s="25"/>
      <c r="FN16" s="24"/>
      <c r="FO16" s="24"/>
      <c r="FP16" s="25"/>
      <c r="FQ16" s="24"/>
      <c r="FR16" s="24"/>
      <c r="FS16" s="25"/>
      <c r="FT16" s="24"/>
      <c r="FU16" s="24"/>
      <c r="FV16" s="25"/>
      <c r="FW16" s="26"/>
      <c r="FX16" s="25"/>
      <c r="FY16" s="31"/>
      <c r="FZ16" s="25"/>
      <c r="GA16" s="25"/>
      <c r="GB16" s="25"/>
      <c r="GC16" s="25"/>
    </row>
    <row r="17" spans="1:204" s="83" customFormat="1" x14ac:dyDescent="0.3">
      <c r="A17" s="4"/>
      <c r="B17" s="134"/>
      <c r="C17" s="136"/>
      <c r="D17" s="14" t="s">
        <v>28</v>
      </c>
      <c r="E17" s="42">
        <v>2</v>
      </c>
      <c r="F17" s="136"/>
      <c r="G17" s="23"/>
      <c r="H17" s="24"/>
      <c r="I17" s="24"/>
      <c r="J17" s="25"/>
      <c r="K17" s="24"/>
      <c r="L17" s="24"/>
      <c r="M17" s="25"/>
      <c r="N17" s="24"/>
      <c r="O17" s="24"/>
      <c r="P17" s="25"/>
      <c r="Q17" s="26"/>
      <c r="R17" s="26"/>
      <c r="S17" s="25"/>
      <c r="T17" s="24"/>
      <c r="U17" s="24"/>
      <c r="V17" s="27"/>
      <c r="W17" s="14"/>
      <c r="X17" s="14"/>
      <c r="Y17" s="27"/>
      <c r="Z17" s="14"/>
      <c r="AA17" s="14"/>
      <c r="AB17" s="27"/>
      <c r="AC17" s="14"/>
      <c r="AD17" s="14"/>
      <c r="AE17" s="27"/>
      <c r="AF17" s="14"/>
      <c r="AG17" s="14"/>
      <c r="AH17" s="27"/>
      <c r="AI17" s="14"/>
      <c r="AJ17" s="14"/>
      <c r="AK17" s="27"/>
      <c r="AL17" s="14"/>
      <c r="AM17" s="14"/>
      <c r="AN17" s="27"/>
      <c r="AO17" s="30"/>
      <c r="AP17" s="30"/>
      <c r="AQ17" s="27"/>
      <c r="AR17" s="14"/>
      <c r="AS17" s="14"/>
      <c r="AT17" s="27"/>
      <c r="AU17" s="14"/>
      <c r="AV17" s="14"/>
      <c r="AW17" s="27"/>
      <c r="AX17" s="14"/>
      <c r="AY17" s="14"/>
      <c r="AZ17" s="27"/>
      <c r="BA17" s="14"/>
      <c r="BB17" s="14"/>
      <c r="BC17" s="27"/>
      <c r="BD17" s="14"/>
      <c r="BE17" s="14"/>
      <c r="BF17" s="27"/>
      <c r="BG17" s="14"/>
      <c r="BH17" s="14"/>
      <c r="BI17" s="27"/>
      <c r="BJ17" s="14"/>
      <c r="BK17" s="14"/>
      <c r="BL17" s="27"/>
      <c r="BM17" s="14"/>
      <c r="BN17" s="14"/>
      <c r="BO17" s="27"/>
      <c r="BP17" s="14"/>
      <c r="BQ17" s="14"/>
      <c r="BR17" s="27"/>
      <c r="BS17" s="14"/>
      <c r="BT17" s="14"/>
      <c r="BU17" s="27"/>
      <c r="BV17" s="114"/>
      <c r="BW17" s="114"/>
      <c r="BX17" s="27"/>
      <c r="BY17" s="114"/>
      <c r="BZ17" s="114"/>
      <c r="CA17" s="27"/>
      <c r="CB17" s="114"/>
      <c r="CC17" s="114"/>
      <c r="CD17" s="27"/>
      <c r="CE17" s="14"/>
      <c r="CF17" s="14"/>
      <c r="CG17" s="27"/>
      <c r="CH17" s="28"/>
      <c r="CI17" s="28"/>
      <c r="CJ17" s="27"/>
      <c r="CK17" s="30"/>
      <c r="CL17" s="30"/>
      <c r="CM17" s="27"/>
      <c r="CN17" s="37"/>
      <c r="CO17" s="37"/>
      <c r="CP17" s="27"/>
      <c r="CQ17" s="28"/>
      <c r="CR17" s="27"/>
      <c r="CS17" s="23"/>
      <c r="CT17" s="30"/>
      <c r="CU17" s="30"/>
      <c r="CV17" s="27"/>
      <c r="CW17" s="30"/>
      <c r="CX17" s="30"/>
      <c r="CY17" s="27"/>
      <c r="CZ17" s="30"/>
      <c r="DA17" s="30"/>
      <c r="DB17" s="27"/>
      <c r="DC17" s="30"/>
      <c r="DD17" s="30"/>
      <c r="DE17" s="27"/>
      <c r="DF17" s="114"/>
      <c r="DG17" s="114"/>
      <c r="DH17" s="27"/>
      <c r="DI17" s="26">
        <f>(219000*Q3)*(105.9/90.9)</f>
        <v>334231.58415841585</v>
      </c>
      <c r="DJ17" s="26"/>
      <c r="DK17" s="25"/>
      <c r="DL17" s="24"/>
      <c r="DM17" s="24"/>
      <c r="DN17" s="25"/>
      <c r="DO17" s="24"/>
      <c r="DP17" s="24"/>
      <c r="DQ17" s="25"/>
      <c r="DR17" s="24"/>
      <c r="DS17" s="24"/>
      <c r="DT17" s="25"/>
      <c r="DU17" s="26"/>
      <c r="DV17" s="26"/>
      <c r="DW17" s="25"/>
      <c r="DX17" s="24"/>
      <c r="DY17" s="24"/>
      <c r="DZ17" s="25"/>
      <c r="EA17" s="24"/>
      <c r="EB17" s="24"/>
      <c r="EC17" s="25"/>
      <c r="ED17" s="24"/>
      <c r="EE17" s="24"/>
      <c r="EF17" s="25"/>
      <c r="EG17" s="24"/>
      <c r="EH17" s="24"/>
      <c r="EI17" s="25"/>
      <c r="EJ17" s="32"/>
      <c r="EK17" s="32"/>
      <c r="EL17" s="25"/>
      <c r="EM17" s="26"/>
      <c r="EN17" s="26"/>
      <c r="EO17" s="25"/>
      <c r="EP17" s="24"/>
      <c r="EQ17" s="24"/>
      <c r="ER17" s="25"/>
      <c r="ES17" s="24"/>
      <c r="ET17" s="24"/>
      <c r="EU17" s="25"/>
      <c r="EV17" s="24"/>
      <c r="EW17" s="24"/>
      <c r="EX17" s="25"/>
      <c r="EY17" s="118"/>
      <c r="EZ17" s="25"/>
      <c r="FA17" s="25"/>
      <c r="FB17" s="24"/>
      <c r="FC17" s="24"/>
      <c r="FD17" s="25"/>
      <c r="FE17" s="24"/>
      <c r="FF17" s="24"/>
      <c r="FG17" s="25"/>
      <c r="FH17" s="24"/>
      <c r="FI17" s="24"/>
      <c r="FJ17" s="25"/>
      <c r="FK17" s="26"/>
      <c r="FL17" s="25"/>
      <c r="FM17" s="25"/>
      <c r="FN17" s="24"/>
      <c r="FO17" s="24"/>
      <c r="FP17" s="25"/>
      <c r="FQ17" s="24"/>
      <c r="FR17" s="24"/>
      <c r="FS17" s="25"/>
      <c r="FT17" s="24"/>
      <c r="FU17" s="24"/>
      <c r="FV17" s="25"/>
      <c r="FW17" s="26"/>
      <c r="FX17" s="25"/>
      <c r="FY17" s="31"/>
      <c r="FZ17" s="25"/>
      <c r="GA17" s="25"/>
      <c r="GB17" s="25"/>
      <c r="GC17" s="25"/>
    </row>
    <row r="18" spans="1:204" s="83" customFormat="1" x14ac:dyDescent="0.3">
      <c r="A18" s="4"/>
      <c r="B18" s="134"/>
      <c r="C18" s="136"/>
      <c r="D18" s="14" t="s">
        <v>29</v>
      </c>
      <c r="E18" s="42">
        <v>2</v>
      </c>
      <c r="F18" s="136"/>
      <c r="G18" s="23"/>
      <c r="H18" s="24"/>
      <c r="I18" s="24"/>
      <c r="J18" s="25"/>
      <c r="K18" s="24"/>
      <c r="L18" s="24"/>
      <c r="M18" s="25"/>
      <c r="N18" s="24"/>
      <c r="O18" s="24"/>
      <c r="P18" s="25"/>
      <c r="Q18" s="26"/>
      <c r="R18" s="26"/>
      <c r="S18" s="25"/>
      <c r="T18" s="24"/>
      <c r="U18" s="24"/>
      <c r="V18" s="27"/>
      <c r="W18" s="14"/>
      <c r="X18" s="14"/>
      <c r="Y18" s="27"/>
      <c r="Z18" s="14"/>
      <c r="AA18" s="14"/>
      <c r="AB18" s="27"/>
      <c r="AC18" s="14"/>
      <c r="AD18" s="14"/>
      <c r="AE18" s="27"/>
      <c r="AF18" s="14"/>
      <c r="AG18" s="14"/>
      <c r="AH18" s="27"/>
      <c r="AI18" s="14"/>
      <c r="AJ18" s="14"/>
      <c r="AK18" s="27"/>
      <c r="AL18" s="14"/>
      <c r="AM18" s="14"/>
      <c r="AN18" s="27"/>
      <c r="AO18" s="30"/>
      <c r="AP18" s="30"/>
      <c r="AQ18" s="27"/>
      <c r="AR18" s="14"/>
      <c r="AS18" s="14"/>
      <c r="AT18" s="27"/>
      <c r="AU18" s="14"/>
      <c r="AV18" s="14"/>
      <c r="AW18" s="27"/>
      <c r="AX18" s="14"/>
      <c r="AY18" s="14"/>
      <c r="AZ18" s="27"/>
      <c r="BA18" s="14"/>
      <c r="BB18" s="14"/>
      <c r="BC18" s="27"/>
      <c r="BD18" s="14"/>
      <c r="BE18" s="14"/>
      <c r="BF18" s="27"/>
      <c r="BG18" s="14"/>
      <c r="BH18" s="14"/>
      <c r="BI18" s="27"/>
      <c r="BJ18" s="14"/>
      <c r="BK18" s="14"/>
      <c r="BL18" s="27"/>
      <c r="BM18" s="14"/>
      <c r="BN18" s="14"/>
      <c r="BO18" s="27"/>
      <c r="BP18" s="14"/>
      <c r="BQ18" s="14"/>
      <c r="BR18" s="27"/>
      <c r="BS18" s="14"/>
      <c r="BT18" s="14"/>
      <c r="BU18" s="27"/>
      <c r="BV18" s="114"/>
      <c r="BW18" s="114"/>
      <c r="BX18" s="27"/>
      <c r="BY18" s="114"/>
      <c r="BZ18" s="114"/>
      <c r="CA18" s="27"/>
      <c r="CB18" s="114"/>
      <c r="CC18" s="114"/>
      <c r="CD18" s="27"/>
      <c r="CE18" s="14"/>
      <c r="CF18" s="14"/>
      <c r="CG18" s="27"/>
      <c r="CH18" s="28"/>
      <c r="CI18" s="28"/>
      <c r="CJ18" s="27"/>
      <c r="CK18" s="30"/>
      <c r="CL18" s="30"/>
      <c r="CM18" s="27"/>
      <c r="CN18" s="37"/>
      <c r="CO18" s="37"/>
      <c r="CP18" s="27"/>
      <c r="CQ18" s="28"/>
      <c r="CR18" s="27"/>
      <c r="CS18" s="23"/>
      <c r="CT18" s="30"/>
      <c r="CU18" s="30"/>
      <c r="CV18" s="27"/>
      <c r="CW18" s="30"/>
      <c r="CX18" s="30"/>
      <c r="CY18" s="27"/>
      <c r="CZ18" s="30"/>
      <c r="DA18" s="30"/>
      <c r="DB18" s="27"/>
      <c r="DC18" s="30"/>
      <c r="DD18" s="30"/>
      <c r="DE18" s="27"/>
      <c r="DF18" s="114"/>
      <c r="DG18" s="114"/>
      <c r="DH18" s="27"/>
      <c r="DI18" s="26">
        <f>(161000*Q3)*(105.9/90.9)</f>
        <v>245713.6303630363</v>
      </c>
      <c r="DJ18" s="26"/>
      <c r="DK18" s="25"/>
      <c r="DL18" s="24"/>
      <c r="DM18" s="24"/>
      <c r="DN18" s="25"/>
      <c r="DO18" s="24"/>
      <c r="DP18" s="24"/>
      <c r="DQ18" s="25"/>
      <c r="DR18" s="24"/>
      <c r="DS18" s="24"/>
      <c r="DT18" s="25"/>
      <c r="DU18" s="26"/>
      <c r="DV18" s="26"/>
      <c r="DW18" s="25"/>
      <c r="DX18" s="24"/>
      <c r="DY18" s="24"/>
      <c r="DZ18" s="25"/>
      <c r="EA18" s="24"/>
      <c r="EB18" s="24"/>
      <c r="EC18" s="25"/>
      <c r="ED18" s="24"/>
      <c r="EE18" s="24"/>
      <c r="EF18" s="25"/>
      <c r="EG18" s="24"/>
      <c r="EH18" s="24"/>
      <c r="EI18" s="25"/>
      <c r="EJ18" s="32"/>
      <c r="EK18" s="32"/>
      <c r="EL18" s="25"/>
      <c r="EM18" s="26"/>
      <c r="EN18" s="26"/>
      <c r="EO18" s="25"/>
      <c r="EP18" s="24"/>
      <c r="EQ18" s="24"/>
      <c r="ER18" s="25"/>
      <c r="ES18" s="24"/>
      <c r="ET18" s="24"/>
      <c r="EU18" s="25"/>
      <c r="EV18" s="24"/>
      <c r="EW18" s="24"/>
      <c r="EX18" s="25"/>
      <c r="EY18" s="118"/>
      <c r="EZ18" s="25"/>
      <c r="FA18" s="25"/>
      <c r="FB18" s="24"/>
      <c r="FC18" s="24"/>
      <c r="FD18" s="25"/>
      <c r="FE18" s="24"/>
      <c r="FF18" s="24"/>
      <c r="FG18" s="25"/>
      <c r="FH18" s="24"/>
      <c r="FI18" s="24"/>
      <c r="FJ18" s="25"/>
      <c r="FK18" s="26"/>
      <c r="FL18" s="25"/>
      <c r="FM18" s="25"/>
      <c r="FN18" s="24"/>
      <c r="FO18" s="24"/>
      <c r="FP18" s="25"/>
      <c r="FQ18" s="24"/>
      <c r="FR18" s="24"/>
      <c r="FS18" s="25"/>
      <c r="FT18" s="24"/>
      <c r="FU18" s="24"/>
      <c r="FV18" s="25"/>
      <c r="FW18" s="26"/>
      <c r="FX18" s="25"/>
      <c r="FY18" s="31"/>
      <c r="FZ18" s="25"/>
      <c r="GA18" s="25"/>
      <c r="GB18" s="25"/>
      <c r="GC18" s="25"/>
    </row>
    <row r="19" spans="1:204" s="83" customFormat="1" x14ac:dyDescent="0.3">
      <c r="A19" s="4"/>
      <c r="B19" s="134"/>
      <c r="C19" s="136"/>
      <c r="D19" s="14" t="s">
        <v>30</v>
      </c>
      <c r="E19" s="42">
        <v>2</v>
      </c>
      <c r="F19" s="136"/>
      <c r="G19" s="23"/>
      <c r="H19" s="24"/>
      <c r="I19" s="24"/>
      <c r="J19" s="25"/>
      <c r="K19" s="24"/>
      <c r="L19" s="24"/>
      <c r="M19" s="25"/>
      <c r="N19" s="24"/>
      <c r="O19" s="24"/>
      <c r="P19" s="25"/>
      <c r="Q19" s="26"/>
      <c r="R19" s="26"/>
      <c r="S19" s="25"/>
      <c r="T19" s="24"/>
      <c r="U19" s="24"/>
      <c r="V19" s="27"/>
      <c r="W19" s="14"/>
      <c r="X19" s="14"/>
      <c r="Y19" s="27"/>
      <c r="Z19" s="14"/>
      <c r="AA19" s="14"/>
      <c r="AB19" s="27"/>
      <c r="AC19" s="14"/>
      <c r="AD19" s="14"/>
      <c r="AE19" s="27"/>
      <c r="AF19" s="14"/>
      <c r="AG19" s="14"/>
      <c r="AH19" s="27"/>
      <c r="AI19" s="14"/>
      <c r="AJ19" s="14"/>
      <c r="AK19" s="27"/>
      <c r="AL19" s="14"/>
      <c r="AM19" s="14"/>
      <c r="AN19" s="27"/>
      <c r="AO19" s="30"/>
      <c r="AP19" s="30"/>
      <c r="AQ19" s="27"/>
      <c r="AR19" s="14"/>
      <c r="AS19" s="14"/>
      <c r="AT19" s="27"/>
      <c r="AU19" s="14"/>
      <c r="AV19" s="14"/>
      <c r="AW19" s="27"/>
      <c r="AX19" s="14"/>
      <c r="AY19" s="14"/>
      <c r="AZ19" s="27"/>
      <c r="BA19" s="14"/>
      <c r="BB19" s="14"/>
      <c r="BC19" s="27"/>
      <c r="BD19" s="14"/>
      <c r="BE19" s="14"/>
      <c r="BF19" s="27"/>
      <c r="BG19" s="14"/>
      <c r="BH19" s="14"/>
      <c r="BI19" s="27"/>
      <c r="BJ19" s="14"/>
      <c r="BK19" s="14"/>
      <c r="BL19" s="27"/>
      <c r="BM19" s="14"/>
      <c r="BN19" s="14"/>
      <c r="BO19" s="27"/>
      <c r="BP19" s="14"/>
      <c r="BQ19" s="14"/>
      <c r="BR19" s="27"/>
      <c r="BS19" s="14"/>
      <c r="BT19" s="14"/>
      <c r="BU19" s="27"/>
      <c r="BV19" s="114"/>
      <c r="BW19" s="114"/>
      <c r="BX19" s="27"/>
      <c r="BY19" s="114"/>
      <c r="BZ19" s="114"/>
      <c r="CA19" s="27"/>
      <c r="CB19" s="114"/>
      <c r="CC19" s="114"/>
      <c r="CD19" s="27"/>
      <c r="CE19" s="14"/>
      <c r="CF19" s="14"/>
      <c r="CG19" s="27"/>
      <c r="CH19" s="28"/>
      <c r="CI19" s="28"/>
      <c r="CJ19" s="27"/>
      <c r="CK19" s="30"/>
      <c r="CL19" s="30"/>
      <c r="CM19" s="27"/>
      <c r="CN19" s="37"/>
      <c r="CO19" s="37"/>
      <c r="CP19" s="27"/>
      <c r="CQ19" s="28"/>
      <c r="CR19" s="27"/>
      <c r="CS19" s="23"/>
      <c r="CT19" s="30"/>
      <c r="CU19" s="30"/>
      <c r="CV19" s="27"/>
      <c r="CW19" s="30"/>
      <c r="CX19" s="30"/>
      <c r="CY19" s="27"/>
      <c r="CZ19" s="30"/>
      <c r="DA19" s="30"/>
      <c r="DB19" s="27"/>
      <c r="DC19" s="30"/>
      <c r="DD19" s="30"/>
      <c r="DE19" s="27"/>
      <c r="DF19" s="114"/>
      <c r="DG19" s="114"/>
      <c r="DH19" s="27"/>
      <c r="DI19" s="26">
        <f>(223000*Q3)*(105.9/90.9)</f>
        <v>340336.27062706271</v>
      </c>
      <c r="DJ19" s="26"/>
      <c r="DK19" s="25"/>
      <c r="DL19" s="24"/>
      <c r="DM19" s="24"/>
      <c r="DN19" s="25"/>
      <c r="DO19" s="24"/>
      <c r="DP19" s="24"/>
      <c r="DQ19" s="25"/>
      <c r="DR19" s="24"/>
      <c r="DS19" s="24"/>
      <c r="DT19" s="25"/>
      <c r="DU19" s="26"/>
      <c r="DV19" s="26"/>
      <c r="DW19" s="25"/>
      <c r="DX19" s="24"/>
      <c r="DY19" s="24"/>
      <c r="DZ19" s="25"/>
      <c r="EA19" s="24"/>
      <c r="EB19" s="24"/>
      <c r="EC19" s="25"/>
      <c r="ED19" s="24"/>
      <c r="EE19" s="24"/>
      <c r="EF19" s="25"/>
      <c r="EG19" s="24"/>
      <c r="EH19" s="24"/>
      <c r="EI19" s="25"/>
      <c r="EJ19" s="32"/>
      <c r="EK19" s="32"/>
      <c r="EL19" s="25"/>
      <c r="EM19" s="26"/>
      <c r="EN19" s="26"/>
      <c r="EO19" s="25"/>
      <c r="EP19" s="24"/>
      <c r="EQ19" s="24"/>
      <c r="ER19" s="25"/>
      <c r="ES19" s="24"/>
      <c r="ET19" s="24"/>
      <c r="EU19" s="25"/>
      <c r="EV19" s="24"/>
      <c r="EW19" s="24"/>
      <c r="EX19" s="25"/>
      <c r="EY19" s="118"/>
      <c r="EZ19" s="25"/>
      <c r="FA19" s="25"/>
      <c r="FB19" s="24"/>
      <c r="FC19" s="24"/>
      <c r="FD19" s="25"/>
      <c r="FE19" s="24"/>
      <c r="FF19" s="24"/>
      <c r="FG19" s="25"/>
      <c r="FH19" s="24"/>
      <c r="FI19" s="24"/>
      <c r="FJ19" s="25"/>
      <c r="FK19" s="26"/>
      <c r="FL19" s="25"/>
      <c r="FM19" s="25"/>
      <c r="FN19" s="24"/>
      <c r="FO19" s="24"/>
      <c r="FP19" s="25"/>
      <c r="FQ19" s="24"/>
      <c r="FR19" s="24"/>
      <c r="FS19" s="25"/>
      <c r="FT19" s="24"/>
      <c r="FU19" s="24"/>
      <c r="FV19" s="25"/>
      <c r="FW19" s="26"/>
      <c r="FX19" s="25"/>
      <c r="FY19" s="31"/>
      <c r="FZ19" s="25"/>
      <c r="GA19" s="25"/>
      <c r="GB19" s="25"/>
      <c r="GC19" s="25"/>
    </row>
    <row r="20" spans="1:204" s="83" customFormat="1" x14ac:dyDescent="0.3">
      <c r="A20" s="4"/>
      <c r="B20" s="134"/>
      <c r="C20" s="136"/>
      <c r="D20" s="14" t="s">
        <v>31</v>
      </c>
      <c r="E20" s="42">
        <v>2</v>
      </c>
      <c r="F20" s="136"/>
      <c r="G20" s="23"/>
      <c r="H20" s="24"/>
      <c r="I20" s="24"/>
      <c r="J20" s="25"/>
      <c r="K20" s="24"/>
      <c r="L20" s="24"/>
      <c r="M20" s="25"/>
      <c r="N20" s="24"/>
      <c r="O20" s="24"/>
      <c r="P20" s="25"/>
      <c r="Q20" s="26"/>
      <c r="R20" s="26"/>
      <c r="S20" s="25"/>
      <c r="T20" s="24"/>
      <c r="U20" s="24"/>
      <c r="V20" s="27"/>
      <c r="W20" s="14"/>
      <c r="X20" s="14"/>
      <c r="Y20" s="27"/>
      <c r="Z20" s="14"/>
      <c r="AA20" s="14"/>
      <c r="AB20" s="27"/>
      <c r="AC20" s="14"/>
      <c r="AD20" s="14"/>
      <c r="AE20" s="27"/>
      <c r="AF20" s="14"/>
      <c r="AG20" s="14"/>
      <c r="AH20" s="27"/>
      <c r="AI20" s="14"/>
      <c r="AJ20" s="14"/>
      <c r="AK20" s="27"/>
      <c r="AL20" s="14"/>
      <c r="AM20" s="14"/>
      <c r="AN20" s="27"/>
      <c r="AO20" s="30"/>
      <c r="AP20" s="30"/>
      <c r="AQ20" s="27"/>
      <c r="AR20" s="14"/>
      <c r="AS20" s="14"/>
      <c r="AT20" s="27"/>
      <c r="AU20" s="14"/>
      <c r="AV20" s="14"/>
      <c r="AW20" s="27"/>
      <c r="AX20" s="14"/>
      <c r="AY20" s="14"/>
      <c r="AZ20" s="27"/>
      <c r="BA20" s="14"/>
      <c r="BB20" s="14"/>
      <c r="BC20" s="27"/>
      <c r="BD20" s="14"/>
      <c r="BE20" s="14"/>
      <c r="BF20" s="27"/>
      <c r="BG20" s="14"/>
      <c r="BH20" s="14"/>
      <c r="BI20" s="27"/>
      <c r="BJ20" s="14"/>
      <c r="BK20" s="14"/>
      <c r="BL20" s="27"/>
      <c r="BM20" s="14"/>
      <c r="BN20" s="14"/>
      <c r="BO20" s="27"/>
      <c r="BP20" s="14"/>
      <c r="BQ20" s="14"/>
      <c r="BR20" s="27"/>
      <c r="BS20" s="14"/>
      <c r="BT20" s="14"/>
      <c r="BU20" s="27"/>
      <c r="BV20" s="114"/>
      <c r="BW20" s="114"/>
      <c r="BX20" s="27"/>
      <c r="BY20" s="114"/>
      <c r="BZ20" s="114"/>
      <c r="CA20" s="27"/>
      <c r="CB20" s="114"/>
      <c r="CC20" s="114"/>
      <c r="CD20" s="27"/>
      <c r="CE20" s="14"/>
      <c r="CF20" s="14"/>
      <c r="CG20" s="27"/>
      <c r="CH20" s="28"/>
      <c r="CI20" s="28"/>
      <c r="CJ20" s="27"/>
      <c r="CK20" s="30"/>
      <c r="CL20" s="30"/>
      <c r="CM20" s="27"/>
      <c r="CN20" s="37"/>
      <c r="CO20" s="37"/>
      <c r="CP20" s="27"/>
      <c r="CQ20" s="28"/>
      <c r="CR20" s="27"/>
      <c r="CS20" s="23"/>
      <c r="CT20" s="30"/>
      <c r="CU20" s="30"/>
      <c r="CV20" s="27"/>
      <c r="CW20" s="30"/>
      <c r="CX20" s="30"/>
      <c r="CY20" s="27"/>
      <c r="CZ20" s="30"/>
      <c r="DA20" s="30"/>
      <c r="DB20" s="27"/>
      <c r="DC20" s="30"/>
      <c r="DD20" s="30"/>
      <c r="DE20" s="27"/>
      <c r="DF20" s="114"/>
      <c r="DG20" s="114"/>
      <c r="DH20" s="27"/>
      <c r="DI20" s="26">
        <f>(168000*Q3)*(105.9/90.9)</f>
        <v>256396.8316831683</v>
      </c>
      <c r="DJ20" s="26"/>
      <c r="DK20" s="25"/>
      <c r="DL20" s="24"/>
      <c r="DM20" s="24"/>
      <c r="DN20" s="25"/>
      <c r="DO20" s="24"/>
      <c r="DP20" s="24"/>
      <c r="DQ20" s="25"/>
      <c r="DR20" s="24"/>
      <c r="DS20" s="24"/>
      <c r="DT20" s="25"/>
      <c r="DU20" s="26"/>
      <c r="DV20" s="26"/>
      <c r="DW20" s="25"/>
      <c r="DX20" s="24"/>
      <c r="DY20" s="24"/>
      <c r="DZ20" s="25"/>
      <c r="EA20" s="24"/>
      <c r="EB20" s="24"/>
      <c r="EC20" s="25"/>
      <c r="ED20" s="24"/>
      <c r="EE20" s="24"/>
      <c r="EF20" s="25"/>
      <c r="EG20" s="24"/>
      <c r="EH20" s="24"/>
      <c r="EI20" s="25"/>
      <c r="EJ20" s="32"/>
      <c r="EK20" s="32"/>
      <c r="EL20" s="25"/>
      <c r="EM20" s="26"/>
      <c r="EN20" s="26"/>
      <c r="EO20" s="25"/>
      <c r="EP20" s="24"/>
      <c r="EQ20" s="24"/>
      <c r="ER20" s="25"/>
      <c r="ES20" s="24"/>
      <c r="ET20" s="24"/>
      <c r="EU20" s="25"/>
      <c r="EV20" s="24"/>
      <c r="EW20" s="24"/>
      <c r="EX20" s="25"/>
      <c r="EY20" s="118"/>
      <c r="EZ20" s="25"/>
      <c r="FA20" s="25"/>
      <c r="FB20" s="24"/>
      <c r="FC20" s="24"/>
      <c r="FD20" s="25"/>
      <c r="FE20" s="24"/>
      <c r="FF20" s="24"/>
      <c r="FG20" s="25"/>
      <c r="FH20" s="24"/>
      <c r="FI20" s="24"/>
      <c r="FJ20" s="25"/>
      <c r="FK20" s="26"/>
      <c r="FL20" s="25"/>
      <c r="FM20" s="25"/>
      <c r="FN20" s="24"/>
      <c r="FO20" s="24"/>
      <c r="FP20" s="25"/>
      <c r="FQ20" s="24"/>
      <c r="FR20" s="24"/>
      <c r="FS20" s="25"/>
      <c r="FT20" s="24"/>
      <c r="FU20" s="24"/>
      <c r="FV20" s="25"/>
      <c r="FW20" s="26"/>
      <c r="FX20" s="25"/>
      <c r="FY20" s="31"/>
      <c r="FZ20" s="25"/>
      <c r="GA20" s="25"/>
      <c r="GB20" s="25"/>
      <c r="GC20" s="25"/>
    </row>
    <row r="21" spans="1:204" s="83" customFormat="1" ht="14.5" x14ac:dyDescent="0.3">
      <c r="A21" s="4"/>
      <c r="B21" s="35"/>
      <c r="C21" s="35"/>
      <c r="D21" s="23"/>
      <c r="E21" s="43"/>
      <c r="F21" s="35"/>
      <c r="G21" s="23"/>
      <c r="H21" s="31"/>
      <c r="I21" s="31"/>
      <c r="J21" s="25"/>
      <c r="K21" s="31"/>
      <c r="L21" s="31"/>
      <c r="M21" s="25"/>
      <c r="N21" s="31"/>
      <c r="O21" s="31"/>
      <c r="P21" s="25"/>
      <c r="Q21" s="31"/>
      <c r="R21" s="31"/>
      <c r="S21" s="25"/>
      <c r="T21" s="31"/>
      <c r="U21" s="31"/>
      <c r="V21" s="25"/>
      <c r="W21" s="23"/>
      <c r="X21" s="23"/>
      <c r="Y21" s="25"/>
      <c r="Z21" s="23"/>
      <c r="AA21" s="23"/>
      <c r="AB21" s="25"/>
      <c r="AC21" s="23"/>
      <c r="AD21" s="23"/>
      <c r="AE21" s="25"/>
      <c r="AF21" s="23"/>
      <c r="AG21" s="23"/>
      <c r="AH21" s="25"/>
      <c r="AI21" s="23"/>
      <c r="AJ21" s="23"/>
      <c r="AK21" s="25"/>
      <c r="AL21" s="23"/>
      <c r="AM21" s="23"/>
      <c r="AN21" s="25"/>
      <c r="AO21" s="23"/>
      <c r="AP21" s="23"/>
      <c r="AQ21" s="25"/>
      <c r="AR21" s="23"/>
      <c r="AS21" s="23"/>
      <c r="AT21" s="25"/>
      <c r="AU21" s="23"/>
      <c r="AV21" s="23"/>
      <c r="AW21" s="25"/>
      <c r="AX21" s="23"/>
      <c r="AY21" s="23"/>
      <c r="AZ21" s="25"/>
      <c r="BA21" s="23"/>
      <c r="BB21" s="23"/>
      <c r="BC21" s="25"/>
      <c r="BD21" s="23"/>
      <c r="BE21" s="23"/>
      <c r="BF21" s="25"/>
      <c r="BG21" s="23"/>
      <c r="BH21" s="23"/>
      <c r="BI21" s="25"/>
      <c r="BJ21" s="23"/>
      <c r="BK21" s="23"/>
      <c r="BL21" s="25"/>
      <c r="BM21" s="23"/>
      <c r="BN21" s="23"/>
      <c r="BO21" s="25"/>
      <c r="BP21" s="23"/>
      <c r="BQ21" s="23"/>
      <c r="BR21" s="25"/>
      <c r="BS21" s="23"/>
      <c r="BT21" s="23"/>
      <c r="BU21" s="25"/>
      <c r="BV21" s="23"/>
      <c r="BW21" s="23"/>
      <c r="BX21" s="25"/>
      <c r="BY21" s="23"/>
      <c r="BZ21" s="23"/>
      <c r="CA21" s="25"/>
      <c r="CB21" s="23"/>
      <c r="CC21" s="23"/>
      <c r="CD21" s="25"/>
      <c r="CE21" s="23"/>
      <c r="CF21" s="23"/>
      <c r="CG21" s="25"/>
      <c r="CH21" s="23"/>
      <c r="CI21" s="23"/>
      <c r="CJ21" s="25"/>
      <c r="CK21" s="23"/>
      <c r="CL21" s="23"/>
      <c r="CM21" s="25"/>
      <c r="CN21" s="23"/>
      <c r="CO21" s="23"/>
      <c r="CP21" s="27"/>
      <c r="CQ21" s="23"/>
      <c r="CR21" s="27"/>
      <c r="CS21" s="23"/>
      <c r="CT21" s="23"/>
      <c r="CU21" s="23"/>
      <c r="CV21" s="25"/>
      <c r="CW21" s="23"/>
      <c r="CX21" s="23"/>
      <c r="CY21" s="25"/>
      <c r="CZ21" s="23"/>
      <c r="DA21" s="23"/>
      <c r="DB21" s="25"/>
      <c r="DC21" s="23"/>
      <c r="DD21" s="23"/>
      <c r="DE21" s="25"/>
      <c r="DF21" s="23"/>
      <c r="DG21" s="23"/>
      <c r="DH21" s="25"/>
      <c r="DI21" s="31"/>
      <c r="DJ21" s="31"/>
      <c r="DK21" s="25"/>
      <c r="DL21" s="31"/>
      <c r="DM21" s="31"/>
      <c r="DN21" s="25"/>
      <c r="DO21" s="31"/>
      <c r="DP21" s="31"/>
      <c r="DQ21" s="25"/>
      <c r="DR21" s="31"/>
      <c r="DS21" s="31"/>
      <c r="DT21" s="25"/>
      <c r="DU21" s="31"/>
      <c r="DV21" s="31"/>
      <c r="DW21" s="25"/>
      <c r="DX21" s="31"/>
      <c r="DY21" s="31"/>
      <c r="DZ21" s="25"/>
      <c r="EA21" s="31"/>
      <c r="EB21" s="31"/>
      <c r="EC21" s="25"/>
      <c r="ED21" s="31"/>
      <c r="EE21" s="31"/>
      <c r="EF21" s="25"/>
      <c r="EG21" s="31"/>
      <c r="EH21" s="31"/>
      <c r="EI21" s="25"/>
      <c r="EJ21" s="31"/>
      <c r="EK21" s="31"/>
      <c r="EL21" s="25"/>
      <c r="EM21" s="31"/>
      <c r="EN21" s="31"/>
      <c r="EO21" s="25"/>
      <c r="EP21" s="31"/>
      <c r="EQ21" s="31"/>
      <c r="ER21" s="25"/>
      <c r="ES21" s="31"/>
      <c r="ET21" s="31"/>
      <c r="EU21" s="25"/>
      <c r="EV21" s="31"/>
      <c r="EW21" s="31"/>
      <c r="EX21" s="25"/>
      <c r="EY21" s="31"/>
      <c r="EZ21" s="25"/>
      <c r="FA21" s="25"/>
      <c r="FB21" s="31"/>
      <c r="FC21" s="31"/>
      <c r="FD21" s="25"/>
      <c r="FE21" s="31"/>
      <c r="FF21" s="31"/>
      <c r="FG21" s="25"/>
      <c r="FH21" s="31"/>
      <c r="FI21" s="31"/>
      <c r="FJ21" s="25"/>
      <c r="FK21" s="31"/>
      <c r="FL21" s="25"/>
      <c r="FM21" s="25"/>
      <c r="FN21" s="31"/>
      <c r="FO21" s="31"/>
      <c r="FP21" s="25"/>
      <c r="FQ21" s="31"/>
      <c r="FR21" s="31"/>
      <c r="FS21" s="25"/>
      <c r="FT21" s="31"/>
      <c r="FU21" s="31"/>
      <c r="FV21" s="25"/>
      <c r="FW21" s="31"/>
      <c r="FX21" s="25"/>
      <c r="FY21" s="31"/>
      <c r="FZ21" s="25"/>
      <c r="GA21" s="25"/>
      <c r="GB21" s="25"/>
      <c r="GC21" s="25"/>
    </row>
    <row r="22" spans="1:204" s="83" customFormat="1" ht="30" x14ac:dyDescent="0.3">
      <c r="A22" s="4"/>
      <c r="B22" s="98" t="s">
        <v>120</v>
      </c>
      <c r="C22" s="102" t="s">
        <v>215</v>
      </c>
      <c r="D22" s="11" t="s">
        <v>119</v>
      </c>
      <c r="E22" s="44">
        <v>2</v>
      </c>
      <c r="F22" s="38">
        <v>1996</v>
      </c>
      <c r="G22" s="23"/>
      <c r="H22" s="24"/>
      <c r="I22" s="24"/>
      <c r="J22" s="25"/>
      <c r="K22" s="24"/>
      <c r="L22" s="24"/>
      <c r="M22" s="25"/>
      <c r="N22" s="24"/>
      <c r="O22" s="24"/>
      <c r="P22" s="25"/>
      <c r="Q22" s="26"/>
      <c r="R22" s="26"/>
      <c r="S22" s="25"/>
      <c r="T22" s="24"/>
      <c r="U22" s="24"/>
      <c r="V22" s="27"/>
      <c r="W22" s="38"/>
      <c r="X22" s="38"/>
      <c r="Y22" s="27"/>
      <c r="Z22" s="38"/>
      <c r="AA22" s="38"/>
      <c r="AB22" s="27"/>
      <c r="AC22" s="38"/>
      <c r="AD22" s="38"/>
      <c r="AE22" s="27"/>
      <c r="AF22" s="38"/>
      <c r="AG22" s="38"/>
      <c r="AH22" s="27"/>
      <c r="AI22" s="38"/>
      <c r="AJ22" s="38"/>
      <c r="AK22" s="27"/>
      <c r="AL22" s="38"/>
      <c r="AM22" s="38"/>
      <c r="AN22" s="27"/>
      <c r="AO22" s="37"/>
      <c r="AP22" s="37"/>
      <c r="AQ22" s="27"/>
      <c r="AR22" s="38"/>
      <c r="AS22" s="38"/>
      <c r="AT22" s="27"/>
      <c r="AU22" s="38"/>
      <c r="AV22" s="38"/>
      <c r="AW22" s="27"/>
      <c r="AX22" s="38"/>
      <c r="AY22" s="38"/>
      <c r="AZ22" s="27"/>
      <c r="BA22" s="38"/>
      <c r="BB22" s="38"/>
      <c r="BC22" s="27"/>
      <c r="BD22" s="38"/>
      <c r="BE22" s="38"/>
      <c r="BF22" s="27"/>
      <c r="BG22" s="38"/>
      <c r="BH22" s="38"/>
      <c r="BI22" s="27"/>
      <c r="BJ22" s="38"/>
      <c r="BK22" s="38"/>
      <c r="BL22" s="27"/>
      <c r="BM22" s="38"/>
      <c r="BN22" s="38"/>
      <c r="BO22" s="27"/>
      <c r="BP22" s="38"/>
      <c r="BQ22" s="38"/>
      <c r="BR22" s="27"/>
      <c r="BS22" s="38"/>
      <c r="BT22" s="38"/>
      <c r="BU22" s="27"/>
      <c r="BV22" s="114"/>
      <c r="BW22" s="114"/>
      <c r="BX22" s="27"/>
      <c r="BY22" s="114"/>
      <c r="BZ22" s="114"/>
      <c r="CA22" s="27"/>
      <c r="CB22" s="114"/>
      <c r="CC22" s="114"/>
      <c r="CD22" s="27"/>
      <c r="CE22" s="38"/>
      <c r="CF22" s="38"/>
      <c r="CG22" s="27"/>
      <c r="CH22" s="26">
        <f>((524*4)*Q3)*(105.9/74.7)</f>
        <v>3892.5834538152617</v>
      </c>
      <c r="CI22" s="26" t="s">
        <v>79</v>
      </c>
      <c r="CJ22" s="27"/>
      <c r="CK22" s="37"/>
      <c r="CL22" s="37"/>
      <c r="CM22" s="27"/>
      <c r="CN22" s="37"/>
      <c r="CO22" s="37"/>
      <c r="CP22" s="27"/>
      <c r="CQ22" s="28"/>
      <c r="CR22" s="27"/>
      <c r="CS22" s="23"/>
      <c r="CT22" s="37"/>
      <c r="CU22" s="37"/>
      <c r="CV22" s="27"/>
      <c r="CW22" s="37"/>
      <c r="CX22" s="37"/>
      <c r="CY22" s="27"/>
      <c r="CZ22" s="37"/>
      <c r="DA22" s="37"/>
      <c r="DB22" s="27"/>
      <c r="DC22" s="37"/>
      <c r="DD22" s="37"/>
      <c r="DE22" s="27"/>
      <c r="DF22" s="114"/>
      <c r="DG22" s="114"/>
      <c r="DH22" s="27"/>
      <c r="DI22" s="32">
        <f>((18024*4)*Q3)*(105.9/74.7)</f>
        <v>133892.98506024099</v>
      </c>
      <c r="DJ22" s="32" t="s">
        <v>79</v>
      </c>
      <c r="DK22" s="25"/>
      <c r="DL22" s="24"/>
      <c r="DM22" s="24"/>
      <c r="DN22" s="25"/>
      <c r="DO22" s="24"/>
      <c r="DP22" s="24"/>
      <c r="DQ22" s="25"/>
      <c r="DR22" s="24"/>
      <c r="DS22" s="24"/>
      <c r="DT22" s="25"/>
      <c r="DU22" s="26"/>
      <c r="DV22" s="26"/>
      <c r="DW22" s="25"/>
      <c r="DX22" s="24"/>
      <c r="DY22" s="24"/>
      <c r="DZ22" s="25"/>
      <c r="EA22" s="24"/>
      <c r="EB22" s="24"/>
      <c r="EC22" s="25"/>
      <c r="ED22" s="24"/>
      <c r="EE22" s="24"/>
      <c r="EF22" s="25"/>
      <c r="EG22" s="24"/>
      <c r="EH22" s="24"/>
      <c r="EI22" s="25"/>
      <c r="EJ22" s="32"/>
      <c r="EK22" s="32"/>
      <c r="EL22" s="25"/>
      <c r="EM22" s="26"/>
      <c r="EN22" s="26"/>
      <c r="EO22" s="25"/>
      <c r="EP22" s="24"/>
      <c r="EQ22" s="24"/>
      <c r="ER22" s="25"/>
      <c r="ES22" s="24"/>
      <c r="ET22" s="24"/>
      <c r="EU22" s="25"/>
      <c r="EV22" s="24"/>
      <c r="EW22" s="24"/>
      <c r="EX22" s="25"/>
      <c r="EY22" s="118"/>
      <c r="EZ22" s="25"/>
      <c r="FA22" s="25"/>
      <c r="FB22" s="24"/>
      <c r="FC22" s="24"/>
      <c r="FD22" s="25"/>
      <c r="FE22" s="24"/>
      <c r="FF22" s="24"/>
      <c r="FG22" s="25"/>
      <c r="FH22" s="32">
        <f>((436*4)*Q3)*(105.9/74.7)</f>
        <v>3238.8671485943773</v>
      </c>
      <c r="FI22" s="32" t="s">
        <v>79</v>
      </c>
      <c r="FJ22" s="25"/>
      <c r="FK22" s="26"/>
      <c r="FL22" s="25"/>
      <c r="FM22" s="25"/>
      <c r="FN22" s="24"/>
      <c r="FO22" s="24"/>
      <c r="FP22" s="25"/>
      <c r="FQ22" s="24"/>
      <c r="FR22" s="24"/>
      <c r="FS22" s="25"/>
      <c r="FT22" s="24"/>
      <c r="FU22" s="24"/>
      <c r="FV22" s="25"/>
      <c r="FW22" s="26"/>
      <c r="FX22" s="25"/>
      <c r="FY22" s="31"/>
      <c r="FZ22" s="25"/>
      <c r="GA22" s="25"/>
      <c r="GB22" s="25"/>
      <c r="GC22" s="25"/>
    </row>
    <row r="23" spans="1:204" s="83" customFormat="1" x14ac:dyDescent="0.3">
      <c r="A23" s="4"/>
      <c r="B23" s="23"/>
      <c r="C23" s="23"/>
      <c r="D23" s="23"/>
      <c r="E23" s="43"/>
      <c r="F23" s="23"/>
      <c r="G23" s="23"/>
      <c r="H23" s="31"/>
      <c r="I23" s="31"/>
      <c r="J23" s="25"/>
      <c r="K23" s="31"/>
      <c r="L23" s="31"/>
      <c r="M23" s="25"/>
      <c r="N23" s="31"/>
      <c r="O23" s="31"/>
      <c r="P23" s="25"/>
      <c r="Q23" s="31"/>
      <c r="R23" s="31"/>
      <c r="S23" s="25"/>
      <c r="T23" s="31"/>
      <c r="U23" s="31"/>
      <c r="V23" s="27"/>
      <c r="W23" s="23"/>
      <c r="X23" s="23"/>
      <c r="Y23" s="27"/>
      <c r="Z23" s="23"/>
      <c r="AA23" s="23"/>
      <c r="AB23" s="27"/>
      <c r="AC23" s="23"/>
      <c r="AD23" s="23"/>
      <c r="AE23" s="27"/>
      <c r="AF23" s="23"/>
      <c r="AG23" s="23"/>
      <c r="AH23" s="27"/>
      <c r="AI23" s="23"/>
      <c r="AJ23" s="23"/>
      <c r="AK23" s="27"/>
      <c r="AL23" s="23"/>
      <c r="AM23" s="23"/>
      <c r="AN23" s="27"/>
      <c r="AO23" s="31"/>
      <c r="AP23" s="31"/>
      <c r="AQ23" s="27"/>
      <c r="AR23" s="23"/>
      <c r="AS23" s="23"/>
      <c r="AT23" s="27"/>
      <c r="AU23" s="23"/>
      <c r="AV23" s="23"/>
      <c r="AW23" s="27"/>
      <c r="AX23" s="23"/>
      <c r="AY23" s="23"/>
      <c r="AZ23" s="27"/>
      <c r="BA23" s="23"/>
      <c r="BB23" s="23"/>
      <c r="BC23" s="27"/>
      <c r="BD23" s="23"/>
      <c r="BE23" s="23"/>
      <c r="BF23" s="27"/>
      <c r="BG23" s="23"/>
      <c r="BH23" s="23"/>
      <c r="BI23" s="27"/>
      <c r="BJ23" s="23"/>
      <c r="BK23" s="23"/>
      <c r="BL23" s="27"/>
      <c r="BM23" s="23"/>
      <c r="BN23" s="23"/>
      <c r="BO23" s="27"/>
      <c r="BP23" s="23"/>
      <c r="BQ23" s="23"/>
      <c r="BR23" s="27"/>
      <c r="BS23" s="23"/>
      <c r="BT23" s="23"/>
      <c r="BU23" s="27"/>
      <c r="BV23" s="23"/>
      <c r="BW23" s="23"/>
      <c r="BX23" s="27"/>
      <c r="BY23" s="23"/>
      <c r="BZ23" s="23"/>
      <c r="CA23" s="27"/>
      <c r="CB23" s="23"/>
      <c r="CC23" s="23"/>
      <c r="CD23" s="27"/>
      <c r="CE23" s="23"/>
      <c r="CF23" s="23"/>
      <c r="CG23" s="27"/>
      <c r="CH23" s="23"/>
      <c r="CI23" s="23"/>
      <c r="CJ23" s="27"/>
      <c r="CK23" s="23"/>
      <c r="CL23" s="23"/>
      <c r="CM23" s="27"/>
      <c r="CN23" s="23"/>
      <c r="CO23" s="23"/>
      <c r="CP23" s="27"/>
      <c r="CQ23" s="23"/>
      <c r="CR23" s="27"/>
      <c r="CS23" s="23"/>
      <c r="CT23" s="23"/>
      <c r="CU23" s="23"/>
      <c r="CV23" s="27"/>
      <c r="CW23" s="23"/>
      <c r="CX23" s="23"/>
      <c r="CY23" s="27"/>
      <c r="CZ23" s="23"/>
      <c r="DA23" s="23"/>
      <c r="DB23" s="27"/>
      <c r="DC23" s="23"/>
      <c r="DD23" s="23"/>
      <c r="DE23" s="27"/>
      <c r="DF23" s="23"/>
      <c r="DG23" s="23"/>
      <c r="DH23" s="27"/>
      <c r="DI23" s="23"/>
      <c r="DJ23" s="23"/>
      <c r="DK23" s="27"/>
      <c r="DL23" s="23"/>
      <c r="DM23" s="23"/>
      <c r="DN23" s="27"/>
      <c r="DO23" s="23"/>
      <c r="DP23" s="23"/>
      <c r="DQ23" s="27"/>
      <c r="DR23" s="23"/>
      <c r="DS23" s="23"/>
      <c r="DT23" s="27"/>
      <c r="DU23" s="23"/>
      <c r="DV23" s="23"/>
      <c r="DW23" s="27"/>
      <c r="DX23" s="23"/>
      <c r="DY23" s="23"/>
      <c r="DZ23" s="27"/>
      <c r="EA23" s="23"/>
      <c r="EB23" s="23"/>
      <c r="EC23" s="27"/>
      <c r="ED23" s="23"/>
      <c r="EE23" s="23"/>
      <c r="EF23" s="27"/>
      <c r="EG23" s="23"/>
      <c r="EH23" s="23"/>
      <c r="EI23" s="27"/>
      <c r="EJ23" s="23"/>
      <c r="EK23" s="23"/>
      <c r="EL23" s="27"/>
      <c r="EM23" s="23"/>
      <c r="EN23" s="23"/>
      <c r="EO23" s="27"/>
      <c r="EP23" s="23"/>
      <c r="EQ23" s="23"/>
      <c r="ER23" s="27"/>
      <c r="ES23" s="23"/>
      <c r="ET23" s="23"/>
      <c r="EU23" s="27"/>
      <c r="EV23" s="23"/>
      <c r="EW23" s="23"/>
      <c r="EX23" s="27"/>
      <c r="EY23" s="23"/>
      <c r="EZ23" s="27"/>
      <c r="FA23" s="27"/>
      <c r="FB23" s="23"/>
      <c r="FC23" s="23"/>
      <c r="FD23" s="27"/>
      <c r="FE23" s="23"/>
      <c r="FF23" s="23"/>
      <c r="FG23" s="27"/>
      <c r="FH23" s="23"/>
      <c r="FI23" s="23"/>
      <c r="FJ23" s="27"/>
      <c r="FK23" s="23"/>
      <c r="FL23" s="27"/>
      <c r="FM23" s="27"/>
      <c r="FN23" s="23"/>
      <c r="FO23" s="23"/>
      <c r="FP23" s="27"/>
      <c r="FQ23" s="23"/>
      <c r="FR23" s="23"/>
      <c r="FS23" s="27"/>
      <c r="FT23" s="23"/>
      <c r="FU23" s="23"/>
      <c r="FV23" s="27"/>
      <c r="FW23" s="23"/>
      <c r="FX23" s="27"/>
      <c r="FY23" s="23"/>
      <c r="FZ23" s="27"/>
      <c r="GA23" s="27"/>
      <c r="GB23" s="27"/>
      <c r="GC23" s="27"/>
    </row>
    <row r="24" spans="1:204" s="83" customFormat="1" ht="42" x14ac:dyDescent="0.3">
      <c r="A24" s="4"/>
      <c r="B24" s="98" t="s">
        <v>117</v>
      </c>
      <c r="C24" s="102" t="s">
        <v>213</v>
      </c>
      <c r="D24" s="17" t="s">
        <v>116</v>
      </c>
      <c r="E24" s="45">
        <v>1</v>
      </c>
      <c r="F24" s="37" t="s">
        <v>118</v>
      </c>
      <c r="G24" s="23"/>
      <c r="H24" s="32">
        <f>((338*T3)*(106.3/78.6))+((1920*T3)*(106.3/78.6))</f>
        <v>3053.7582697201019</v>
      </c>
      <c r="I24" s="32" t="s">
        <v>79</v>
      </c>
      <c r="J24" s="25"/>
      <c r="K24" s="32">
        <f>((1044*T3)*(106.3/78.6))+((222*T3)*(106.3/78.6))+((80*T3)*(106.3/78.6))</f>
        <v>1820.3536895674304</v>
      </c>
      <c r="L24" s="32" t="s">
        <v>79</v>
      </c>
      <c r="M24" s="25"/>
      <c r="N24" s="32">
        <f>(44*T3)*(106.3/78.6)</f>
        <v>59.506361323155218</v>
      </c>
      <c r="O24" s="32" t="s">
        <v>79</v>
      </c>
      <c r="P24" s="25"/>
      <c r="Q24" s="26">
        <f>H24+K24+N24</f>
        <v>4933.6183206106871</v>
      </c>
      <c r="R24" s="26"/>
      <c r="S24" s="25"/>
      <c r="T24" s="32">
        <f>(110*T3)*(106.3/78.6)</f>
        <v>148.76590330788807</v>
      </c>
      <c r="U24" s="32" t="s">
        <v>79</v>
      </c>
      <c r="V24" s="25"/>
      <c r="W24" s="37"/>
      <c r="X24" s="37"/>
      <c r="Y24" s="27"/>
      <c r="Z24" s="37"/>
      <c r="AA24" s="37"/>
      <c r="AB24" s="27"/>
      <c r="AC24" s="37"/>
      <c r="AD24" s="37"/>
      <c r="AE24" s="27"/>
      <c r="AF24" s="37"/>
      <c r="AG24" s="37"/>
      <c r="AH24" s="27"/>
      <c r="AI24" s="37"/>
      <c r="AJ24" s="37"/>
      <c r="AK24" s="27"/>
      <c r="AL24" s="32">
        <f>(54*T3)*(106.3/78.6)</f>
        <v>73.03053435114505</v>
      </c>
      <c r="AM24" s="32" t="s">
        <v>79</v>
      </c>
      <c r="AN24" s="27"/>
      <c r="AO24" s="32"/>
      <c r="AP24" s="32"/>
      <c r="AQ24" s="27"/>
      <c r="AR24" s="37"/>
      <c r="AS24" s="37"/>
      <c r="AT24" s="27"/>
      <c r="AU24" s="37"/>
      <c r="AV24" s="37"/>
      <c r="AW24" s="27"/>
      <c r="AX24" s="37"/>
      <c r="AY24" s="37"/>
      <c r="AZ24" s="27"/>
      <c r="BA24" s="37"/>
      <c r="BB24" s="37"/>
      <c r="BC24" s="27"/>
      <c r="BD24" s="37"/>
      <c r="BE24" s="37"/>
      <c r="BF24" s="27"/>
      <c r="BG24" s="37"/>
      <c r="BH24" s="37"/>
      <c r="BI24" s="27"/>
      <c r="BJ24" s="37"/>
      <c r="BK24" s="37"/>
      <c r="BL24" s="27"/>
      <c r="BM24" s="37"/>
      <c r="BN24" s="37"/>
      <c r="BO24" s="27"/>
      <c r="BP24" s="37"/>
      <c r="BQ24" s="37"/>
      <c r="BR24" s="27"/>
      <c r="BS24" s="32">
        <f>(16*T3)*(106.3/78.6)</f>
        <v>21.638676844783717</v>
      </c>
      <c r="BT24" s="32" t="s">
        <v>79</v>
      </c>
      <c r="BU24" s="27"/>
      <c r="BV24" s="37"/>
      <c r="BW24" s="37"/>
      <c r="BX24" s="27"/>
      <c r="BY24" s="37"/>
      <c r="BZ24" s="37"/>
      <c r="CA24" s="27"/>
      <c r="CB24" s="37"/>
      <c r="CC24" s="37"/>
      <c r="CD24" s="27"/>
      <c r="CE24" s="32">
        <f>((77*T3)*(106.3/78.66))+((62*T3)*(106.3/78.6))</f>
        <v>187.9065724938522</v>
      </c>
      <c r="CF24" s="32" t="s">
        <v>79</v>
      </c>
      <c r="CG24" s="27"/>
      <c r="CH24" s="26">
        <f>T24+AL24+BS24+CE24</f>
        <v>431.34168699766906</v>
      </c>
      <c r="CI24" s="28"/>
      <c r="CJ24" s="27"/>
      <c r="CK24" s="32">
        <f>((465*T3)*(106.3/78.6))+((827*T3)*(106.3/78.6))</f>
        <v>1747.3231552162852</v>
      </c>
      <c r="CL24" s="37" t="s">
        <v>79</v>
      </c>
      <c r="CM24" s="27"/>
      <c r="CN24" s="37"/>
      <c r="CO24" s="37"/>
      <c r="CP24" s="27"/>
      <c r="CQ24" s="28"/>
      <c r="CR24" s="27"/>
      <c r="CS24" s="23"/>
      <c r="CT24" s="37"/>
      <c r="CU24" s="37"/>
      <c r="CV24" s="27"/>
      <c r="CW24" s="37"/>
      <c r="CX24" s="37"/>
      <c r="CY24" s="27"/>
      <c r="CZ24" s="37"/>
      <c r="DA24" s="37"/>
      <c r="DB24" s="27"/>
      <c r="DC24" s="37"/>
      <c r="DD24" s="37"/>
      <c r="DE24" s="27"/>
      <c r="DF24" s="37"/>
      <c r="DG24" s="37"/>
      <c r="DH24" s="27"/>
      <c r="DI24" s="37"/>
      <c r="DJ24" s="37"/>
      <c r="DK24" s="27"/>
      <c r="DL24" s="37"/>
      <c r="DM24" s="37"/>
      <c r="DN24" s="27"/>
      <c r="DO24" s="37"/>
      <c r="DP24" s="37"/>
      <c r="DQ24" s="27"/>
      <c r="DR24" s="37"/>
      <c r="DS24" s="37"/>
      <c r="DT24" s="27"/>
      <c r="DU24" s="28"/>
      <c r="DV24" s="28"/>
      <c r="DW24" s="27"/>
      <c r="DX24" s="37"/>
      <c r="DY24" s="37"/>
      <c r="DZ24" s="27"/>
      <c r="EA24" s="37"/>
      <c r="EB24" s="37"/>
      <c r="EC24" s="27"/>
      <c r="ED24" s="37"/>
      <c r="EE24" s="37"/>
      <c r="EF24" s="27"/>
      <c r="EG24" s="37"/>
      <c r="EH24" s="37"/>
      <c r="EI24" s="27"/>
      <c r="EJ24" s="37"/>
      <c r="EK24" s="37"/>
      <c r="EL24" s="27"/>
      <c r="EM24" s="28"/>
      <c r="EN24" s="28"/>
      <c r="EO24" s="27"/>
      <c r="EP24" s="37"/>
      <c r="EQ24" s="37"/>
      <c r="ER24" s="27"/>
      <c r="ES24" s="37"/>
      <c r="ET24" s="37"/>
      <c r="EU24" s="27"/>
      <c r="EV24" s="37"/>
      <c r="EW24" s="37"/>
      <c r="EX24" s="27"/>
      <c r="EY24" s="119"/>
      <c r="EZ24" s="27"/>
      <c r="FA24" s="27"/>
      <c r="FB24" s="37"/>
      <c r="FC24" s="37"/>
      <c r="FD24" s="27"/>
      <c r="FE24" s="37"/>
      <c r="FF24" s="37"/>
      <c r="FG24" s="27"/>
      <c r="FH24" s="37"/>
      <c r="FI24" s="37"/>
      <c r="FJ24" s="27"/>
      <c r="FK24" s="28"/>
      <c r="FL24" s="27"/>
      <c r="FM24" s="27"/>
      <c r="FN24" s="37"/>
      <c r="FO24" s="37"/>
      <c r="FP24" s="27"/>
      <c r="FQ24" s="37"/>
      <c r="FR24" s="37"/>
      <c r="FS24" s="27"/>
      <c r="FT24" s="37"/>
      <c r="FU24" s="37"/>
      <c r="FV24" s="27"/>
      <c r="FW24" s="28"/>
      <c r="FX24" s="27"/>
      <c r="FY24" s="23"/>
      <c r="FZ24" s="27"/>
      <c r="GA24" s="27"/>
      <c r="GB24" s="27"/>
      <c r="GC24" s="27"/>
    </row>
    <row r="25" spans="1:204" s="83" customFormat="1" ht="14.25" customHeight="1" x14ac:dyDescent="0.3">
      <c r="A25" s="4"/>
      <c r="B25" s="23"/>
      <c r="C25" s="23"/>
      <c r="D25" s="23"/>
      <c r="E25" s="43"/>
      <c r="F25" s="23"/>
      <c r="G25" s="23"/>
      <c r="H25" s="31"/>
      <c r="I25" s="31"/>
      <c r="J25" s="25"/>
      <c r="K25" s="31"/>
      <c r="L25" s="31"/>
      <c r="M25" s="25"/>
      <c r="N25" s="31"/>
      <c r="O25" s="31"/>
      <c r="P25" s="25"/>
      <c r="Q25" s="31"/>
      <c r="R25" s="31"/>
      <c r="S25" s="25"/>
      <c r="T25" s="31"/>
      <c r="U25" s="31"/>
      <c r="V25" s="27"/>
      <c r="W25" s="23"/>
      <c r="X25" s="23"/>
      <c r="Y25" s="27"/>
      <c r="Z25" s="23"/>
      <c r="AA25" s="23"/>
      <c r="AB25" s="27"/>
      <c r="AC25" s="23"/>
      <c r="AD25" s="23"/>
      <c r="AE25" s="27"/>
      <c r="AF25" s="23"/>
      <c r="AG25" s="23"/>
      <c r="AH25" s="27"/>
      <c r="AI25" s="23"/>
      <c r="AJ25" s="23"/>
      <c r="AK25" s="27"/>
      <c r="AL25" s="23"/>
      <c r="AM25" s="23"/>
      <c r="AN25" s="27"/>
      <c r="AO25" s="31"/>
      <c r="AP25" s="31"/>
      <c r="AQ25" s="27"/>
      <c r="AR25" s="23"/>
      <c r="AS25" s="23"/>
      <c r="AT25" s="27"/>
      <c r="AU25" s="23"/>
      <c r="AV25" s="23"/>
      <c r="AW25" s="27"/>
      <c r="AX25" s="23"/>
      <c r="AY25" s="23"/>
      <c r="AZ25" s="27"/>
      <c r="BA25" s="23"/>
      <c r="BB25" s="23"/>
      <c r="BC25" s="27"/>
      <c r="BD25" s="23"/>
      <c r="BE25" s="23"/>
      <c r="BF25" s="27"/>
      <c r="BG25" s="23"/>
      <c r="BH25" s="23"/>
      <c r="BI25" s="27"/>
      <c r="BJ25" s="23"/>
      <c r="BK25" s="23"/>
      <c r="BL25" s="27"/>
      <c r="BM25" s="23"/>
      <c r="BN25" s="23"/>
      <c r="BO25" s="27"/>
      <c r="BP25" s="23"/>
      <c r="BQ25" s="23"/>
      <c r="BR25" s="27"/>
      <c r="BS25" s="23"/>
      <c r="BT25" s="23"/>
      <c r="BU25" s="27"/>
      <c r="BV25" s="23"/>
      <c r="BW25" s="23"/>
      <c r="BX25" s="27"/>
      <c r="BY25" s="23"/>
      <c r="BZ25" s="23"/>
      <c r="CA25" s="27"/>
      <c r="CB25" s="23"/>
      <c r="CC25" s="23"/>
      <c r="CD25" s="27"/>
      <c r="CE25" s="23"/>
      <c r="CF25" s="23"/>
      <c r="CG25" s="27"/>
      <c r="CH25" s="23"/>
      <c r="CI25" s="23"/>
      <c r="CJ25" s="27"/>
      <c r="CK25" s="23"/>
      <c r="CL25" s="23"/>
      <c r="CM25" s="27"/>
      <c r="CN25" s="23"/>
      <c r="CO25" s="23"/>
      <c r="CP25" s="27"/>
      <c r="CQ25" s="23"/>
      <c r="CR25" s="27"/>
      <c r="CS25" s="23"/>
      <c r="CT25" s="23"/>
      <c r="CU25" s="23"/>
      <c r="CV25" s="27"/>
      <c r="CW25" s="23"/>
      <c r="CX25" s="23"/>
      <c r="CY25" s="27"/>
      <c r="CZ25" s="23"/>
      <c r="DA25" s="23"/>
      <c r="DB25" s="27"/>
      <c r="DC25" s="23"/>
      <c r="DD25" s="23"/>
      <c r="DE25" s="27"/>
      <c r="DF25" s="23"/>
      <c r="DG25" s="23"/>
      <c r="DH25" s="27"/>
      <c r="DI25" s="23"/>
      <c r="DJ25" s="23"/>
      <c r="DK25" s="27"/>
      <c r="DL25" s="23"/>
      <c r="DM25" s="23"/>
      <c r="DN25" s="27"/>
      <c r="DO25" s="23"/>
      <c r="DP25" s="23"/>
      <c r="DQ25" s="27"/>
      <c r="DR25" s="23"/>
      <c r="DS25" s="23"/>
      <c r="DT25" s="27"/>
      <c r="DU25" s="23"/>
      <c r="DV25" s="23"/>
      <c r="DW25" s="27"/>
      <c r="DX25" s="23"/>
      <c r="DY25" s="23"/>
      <c r="DZ25" s="27"/>
      <c r="EA25" s="23"/>
      <c r="EB25" s="23"/>
      <c r="EC25" s="27"/>
      <c r="ED25" s="23"/>
      <c r="EE25" s="23"/>
      <c r="EF25" s="27"/>
      <c r="EG25" s="23"/>
      <c r="EH25" s="23"/>
      <c r="EI25" s="27"/>
      <c r="EJ25" s="23"/>
      <c r="EK25" s="23"/>
      <c r="EL25" s="27"/>
      <c r="EM25" s="23"/>
      <c r="EN25" s="23"/>
      <c r="EO25" s="27"/>
      <c r="EP25" s="23"/>
      <c r="EQ25" s="23"/>
      <c r="ER25" s="27"/>
      <c r="ES25" s="23"/>
      <c r="ET25" s="23"/>
      <c r="EU25" s="27"/>
      <c r="EV25" s="23"/>
      <c r="EW25" s="23"/>
      <c r="EX25" s="27"/>
      <c r="EY25" s="23"/>
      <c r="EZ25" s="27"/>
      <c r="FA25" s="27"/>
      <c r="FB25" s="23"/>
      <c r="FC25" s="23"/>
      <c r="FD25" s="27"/>
      <c r="FE25" s="23"/>
      <c r="FF25" s="23"/>
      <c r="FG25" s="27"/>
      <c r="FH25" s="23"/>
      <c r="FI25" s="23"/>
      <c r="FJ25" s="27"/>
      <c r="FK25" s="23"/>
      <c r="FL25" s="27"/>
      <c r="FM25" s="27"/>
      <c r="FN25" s="23"/>
      <c r="FO25" s="23"/>
      <c r="FP25" s="27"/>
      <c r="FQ25" s="23"/>
      <c r="FR25" s="23"/>
      <c r="FS25" s="27"/>
      <c r="FT25" s="23"/>
      <c r="FU25" s="23"/>
      <c r="FV25" s="27"/>
      <c r="FW25" s="23"/>
      <c r="FX25" s="27"/>
      <c r="FY25" s="23"/>
      <c r="FZ25" s="27"/>
      <c r="GA25" s="27"/>
      <c r="GB25" s="27"/>
      <c r="GC25" s="27"/>
    </row>
    <row r="26" spans="1:204" s="83" customFormat="1" ht="42" x14ac:dyDescent="0.3">
      <c r="A26" s="4"/>
      <c r="B26" s="98" t="s">
        <v>115</v>
      </c>
      <c r="C26" s="102" t="s">
        <v>217</v>
      </c>
      <c r="D26" s="17" t="s">
        <v>114</v>
      </c>
      <c r="E26" s="45">
        <v>2</v>
      </c>
      <c r="F26" s="37">
        <v>2005</v>
      </c>
      <c r="G26" s="23"/>
      <c r="H26" s="32"/>
      <c r="I26" s="32"/>
      <c r="J26" s="25"/>
      <c r="K26" s="32"/>
      <c r="L26" s="32"/>
      <c r="M26" s="25"/>
      <c r="N26" s="32"/>
      <c r="O26" s="32"/>
      <c r="P26" s="25"/>
      <c r="Q26" s="26"/>
      <c r="R26" s="26"/>
      <c r="S26" s="25"/>
      <c r="T26" s="32"/>
      <c r="U26" s="32"/>
      <c r="V26" s="27"/>
      <c r="W26" s="37"/>
      <c r="X26" s="37"/>
      <c r="Y26" s="27"/>
      <c r="Z26" s="37"/>
      <c r="AA26" s="37"/>
      <c r="AB26" s="27"/>
      <c r="AC26" s="37"/>
      <c r="AD26" s="37"/>
      <c r="AE26" s="27"/>
      <c r="AF26" s="37"/>
      <c r="AG26" s="37"/>
      <c r="AH26" s="27"/>
      <c r="AI26" s="37"/>
      <c r="AJ26" s="37"/>
      <c r="AK26" s="27"/>
      <c r="AL26" s="37"/>
      <c r="AM26" s="37"/>
      <c r="AN26" s="27"/>
      <c r="AO26" s="32"/>
      <c r="AP26" s="32"/>
      <c r="AQ26" s="27"/>
      <c r="AR26" s="37"/>
      <c r="AS26" s="37"/>
      <c r="AT26" s="27"/>
      <c r="AU26" s="37"/>
      <c r="AV26" s="37"/>
      <c r="AW26" s="27"/>
      <c r="AX26" s="37"/>
      <c r="AY26" s="37"/>
      <c r="AZ26" s="27"/>
      <c r="BA26" s="37"/>
      <c r="BB26" s="37"/>
      <c r="BC26" s="27"/>
      <c r="BD26" s="37"/>
      <c r="BE26" s="37"/>
      <c r="BF26" s="27"/>
      <c r="BG26" s="37"/>
      <c r="BH26" s="37"/>
      <c r="BI26" s="27"/>
      <c r="BJ26" s="37"/>
      <c r="BK26" s="37"/>
      <c r="BL26" s="27"/>
      <c r="BM26" s="37"/>
      <c r="BN26" s="37"/>
      <c r="BO26" s="27"/>
      <c r="BP26" s="37"/>
      <c r="BQ26" s="37"/>
      <c r="BR26" s="27"/>
      <c r="BS26" s="37"/>
      <c r="BT26" s="37"/>
      <c r="BU26" s="27"/>
      <c r="BV26" s="37"/>
      <c r="BW26" s="37"/>
      <c r="BX26" s="27"/>
      <c r="BY26" s="37"/>
      <c r="BZ26" s="37"/>
      <c r="CA26" s="27"/>
      <c r="CB26" s="37"/>
      <c r="CC26" s="37"/>
      <c r="CD26" s="27"/>
      <c r="CE26" s="37"/>
      <c r="CF26" s="37"/>
      <c r="CG26" s="27"/>
      <c r="CH26" s="28"/>
      <c r="CI26" s="28"/>
      <c r="CJ26" s="27"/>
      <c r="CK26" s="37"/>
      <c r="CL26" s="37"/>
      <c r="CM26" s="27"/>
      <c r="CN26" s="37"/>
      <c r="CO26" s="37"/>
      <c r="CP26" s="27"/>
      <c r="CQ26" s="28"/>
      <c r="CR26" s="27"/>
      <c r="CS26" s="23"/>
      <c r="CT26" s="37"/>
      <c r="CU26" s="37"/>
      <c r="CV26" s="27"/>
      <c r="CW26" s="37"/>
      <c r="CX26" s="37"/>
      <c r="CY26" s="27"/>
      <c r="CZ26" s="37"/>
      <c r="DA26" s="37"/>
      <c r="DB26" s="27"/>
      <c r="DC26" s="37"/>
      <c r="DD26" s="37"/>
      <c r="DE26" s="27"/>
      <c r="DF26" s="37"/>
      <c r="DG26" s="37"/>
      <c r="DH26" s="27"/>
      <c r="DI26" s="28"/>
      <c r="DJ26" s="28"/>
      <c r="DK26" s="27"/>
      <c r="DL26" s="37"/>
      <c r="DM26" s="37"/>
      <c r="DN26" s="27"/>
      <c r="DO26" s="37"/>
      <c r="DP26" s="37"/>
      <c r="DQ26" s="27"/>
      <c r="DR26" s="37"/>
      <c r="DS26" s="37"/>
      <c r="DT26" s="27"/>
      <c r="DU26" s="28"/>
      <c r="DV26" s="28"/>
      <c r="DW26" s="27"/>
      <c r="DX26" s="37"/>
      <c r="DY26" s="37"/>
      <c r="DZ26" s="27"/>
      <c r="EA26" s="37"/>
      <c r="EB26" s="37"/>
      <c r="EC26" s="27"/>
      <c r="ED26" s="37"/>
      <c r="EE26" s="37"/>
      <c r="EF26" s="27"/>
      <c r="EG26" s="37"/>
      <c r="EH26" s="37"/>
      <c r="EI26" s="27"/>
      <c r="EJ26" s="37"/>
      <c r="EK26" s="37"/>
      <c r="EL26" s="27"/>
      <c r="EM26" s="26">
        <f>(10123*T3)*(106.3/78.6)</f>
        <v>13690.520356234098</v>
      </c>
      <c r="EN26" s="26">
        <f>(5863*T3)*(106.3/78.6)</f>
        <v>7929.2226463104334</v>
      </c>
      <c r="EO26" s="27"/>
      <c r="EP26" s="37"/>
      <c r="EQ26" s="37"/>
      <c r="ER26" s="27"/>
      <c r="ES26" s="37"/>
      <c r="ET26" s="37"/>
      <c r="EU26" s="27"/>
      <c r="EV26" s="37"/>
      <c r="EW26" s="37"/>
      <c r="EX26" s="27"/>
      <c r="EY26" s="119"/>
      <c r="EZ26" s="27"/>
      <c r="FA26" s="27"/>
      <c r="FB26" s="37"/>
      <c r="FC26" s="37"/>
      <c r="FD26" s="27"/>
      <c r="FE26" s="37"/>
      <c r="FF26" s="37"/>
      <c r="FG26" s="27"/>
      <c r="FH26" s="37"/>
      <c r="FI26" s="37"/>
      <c r="FJ26" s="27"/>
      <c r="FK26" s="28"/>
      <c r="FL26" s="27"/>
      <c r="FM26" s="27"/>
      <c r="FN26" s="37"/>
      <c r="FO26" s="37"/>
      <c r="FP26" s="27"/>
      <c r="FQ26" s="37"/>
      <c r="FR26" s="37"/>
      <c r="FS26" s="27"/>
      <c r="FT26" s="37"/>
      <c r="FU26" s="37"/>
      <c r="FV26" s="27"/>
      <c r="FW26" s="28"/>
      <c r="FX26" s="27"/>
      <c r="FY26" s="23"/>
      <c r="FZ26" s="27"/>
      <c r="GA26" s="27"/>
      <c r="GB26" s="27"/>
      <c r="GC26" s="27"/>
    </row>
    <row r="27" spans="1:204" s="83" customFormat="1" ht="14.25" customHeight="1" x14ac:dyDescent="0.3">
      <c r="A27" s="4"/>
      <c r="B27" s="23"/>
      <c r="C27" s="23"/>
      <c r="D27" s="23"/>
      <c r="E27" s="43"/>
      <c r="F27" s="23"/>
      <c r="G27" s="23"/>
      <c r="H27" s="31"/>
      <c r="I27" s="31"/>
      <c r="J27" s="25"/>
      <c r="K27" s="31"/>
      <c r="L27" s="31"/>
      <c r="M27" s="25"/>
      <c r="N27" s="31"/>
      <c r="O27" s="31"/>
      <c r="P27" s="25"/>
      <c r="Q27" s="31"/>
      <c r="R27" s="31"/>
      <c r="S27" s="25"/>
      <c r="T27" s="31"/>
      <c r="U27" s="31"/>
      <c r="V27" s="27"/>
      <c r="W27" s="23"/>
      <c r="X27" s="23"/>
      <c r="Y27" s="27"/>
      <c r="Z27" s="23"/>
      <c r="AA27" s="23"/>
      <c r="AB27" s="27"/>
      <c r="AC27" s="23"/>
      <c r="AD27" s="23"/>
      <c r="AE27" s="27"/>
      <c r="AF27" s="23"/>
      <c r="AG27" s="23"/>
      <c r="AH27" s="27"/>
      <c r="AI27" s="23"/>
      <c r="AJ27" s="23"/>
      <c r="AK27" s="27"/>
      <c r="AL27" s="23"/>
      <c r="AM27" s="23"/>
      <c r="AN27" s="27"/>
      <c r="AO27" s="31"/>
      <c r="AP27" s="31"/>
      <c r="AQ27" s="27"/>
      <c r="AR27" s="23"/>
      <c r="AS27" s="23"/>
      <c r="AT27" s="27"/>
      <c r="AU27" s="23"/>
      <c r="AV27" s="23"/>
      <c r="AW27" s="27"/>
      <c r="AX27" s="23"/>
      <c r="AY27" s="23"/>
      <c r="AZ27" s="27"/>
      <c r="BA27" s="23"/>
      <c r="BB27" s="23"/>
      <c r="BC27" s="27"/>
      <c r="BD27" s="23"/>
      <c r="BE27" s="23"/>
      <c r="BF27" s="27"/>
      <c r="BG27" s="23"/>
      <c r="BH27" s="23"/>
      <c r="BI27" s="27"/>
      <c r="BJ27" s="23"/>
      <c r="BK27" s="23"/>
      <c r="BL27" s="27"/>
      <c r="BM27" s="23"/>
      <c r="BN27" s="23"/>
      <c r="BO27" s="27"/>
      <c r="BP27" s="23"/>
      <c r="BQ27" s="23"/>
      <c r="BR27" s="27"/>
      <c r="BS27" s="23"/>
      <c r="BT27" s="23"/>
      <c r="BU27" s="27"/>
      <c r="BV27" s="23"/>
      <c r="BW27" s="23"/>
      <c r="BX27" s="27"/>
      <c r="BY27" s="23"/>
      <c r="BZ27" s="23"/>
      <c r="CA27" s="27"/>
      <c r="CB27" s="23"/>
      <c r="CC27" s="23"/>
      <c r="CD27" s="27"/>
      <c r="CE27" s="23"/>
      <c r="CF27" s="23"/>
      <c r="CG27" s="27"/>
      <c r="CH27" s="23"/>
      <c r="CI27" s="23"/>
      <c r="CJ27" s="27"/>
      <c r="CK27" s="23"/>
      <c r="CL27" s="23"/>
      <c r="CM27" s="27"/>
      <c r="CN27" s="23"/>
      <c r="CO27" s="23"/>
      <c r="CP27" s="27"/>
      <c r="CQ27" s="23"/>
      <c r="CR27" s="27"/>
      <c r="CS27" s="23"/>
      <c r="CT27" s="23"/>
      <c r="CU27" s="23"/>
      <c r="CV27" s="27"/>
      <c r="CW27" s="23"/>
      <c r="CX27" s="23"/>
      <c r="CY27" s="27"/>
      <c r="CZ27" s="23"/>
      <c r="DA27" s="23"/>
      <c r="DB27" s="27"/>
      <c r="DC27" s="23"/>
      <c r="DD27" s="23"/>
      <c r="DE27" s="27"/>
      <c r="DF27" s="23"/>
      <c r="DG27" s="23"/>
      <c r="DH27" s="27"/>
      <c r="DI27" s="23"/>
      <c r="DJ27" s="23"/>
      <c r="DK27" s="27"/>
      <c r="DL27" s="23"/>
      <c r="DM27" s="23"/>
      <c r="DN27" s="27"/>
      <c r="DO27" s="23"/>
      <c r="DP27" s="23"/>
      <c r="DQ27" s="27"/>
      <c r="DR27" s="23"/>
      <c r="DS27" s="23"/>
      <c r="DT27" s="27"/>
      <c r="DU27" s="23"/>
      <c r="DV27" s="23"/>
      <c r="DW27" s="27"/>
      <c r="DX27" s="23"/>
      <c r="DY27" s="23"/>
      <c r="DZ27" s="27"/>
      <c r="EA27" s="23"/>
      <c r="EB27" s="23"/>
      <c r="EC27" s="27"/>
      <c r="ED27" s="23"/>
      <c r="EE27" s="23"/>
      <c r="EF27" s="27"/>
      <c r="EG27" s="23"/>
      <c r="EH27" s="23"/>
      <c r="EI27" s="27"/>
      <c r="EJ27" s="23"/>
      <c r="EK27" s="23"/>
      <c r="EL27" s="27"/>
      <c r="EM27" s="23"/>
      <c r="EN27" s="23"/>
      <c r="EO27" s="27"/>
      <c r="EP27" s="23"/>
      <c r="EQ27" s="23"/>
      <c r="ER27" s="27"/>
      <c r="ES27" s="23"/>
      <c r="ET27" s="23"/>
      <c r="EU27" s="27"/>
      <c r="EV27" s="23"/>
      <c r="EW27" s="23"/>
      <c r="EX27" s="27"/>
      <c r="EY27" s="23"/>
      <c r="EZ27" s="27"/>
      <c r="FA27" s="27"/>
      <c r="FB27" s="23"/>
      <c r="FC27" s="23"/>
      <c r="FD27" s="27"/>
      <c r="FE27" s="23"/>
      <c r="FF27" s="23"/>
      <c r="FG27" s="27"/>
      <c r="FH27" s="23"/>
      <c r="FI27" s="23"/>
      <c r="FJ27" s="27"/>
      <c r="FK27" s="23"/>
      <c r="FL27" s="27"/>
      <c r="FM27" s="27"/>
      <c r="FN27" s="23"/>
      <c r="FO27" s="23"/>
      <c r="FP27" s="27"/>
      <c r="FQ27" s="23"/>
      <c r="FR27" s="23"/>
      <c r="FS27" s="27"/>
      <c r="FT27" s="23"/>
      <c r="FU27" s="23"/>
      <c r="FV27" s="27"/>
      <c r="FW27" s="23"/>
      <c r="FX27" s="27"/>
      <c r="FY27" s="23"/>
      <c r="FZ27" s="27"/>
      <c r="GA27" s="27"/>
      <c r="GB27" s="27"/>
      <c r="GC27" s="27"/>
    </row>
    <row r="28" spans="1:204" s="83" customFormat="1" ht="42" x14ac:dyDescent="0.3">
      <c r="A28" s="4"/>
      <c r="B28" s="98" t="s">
        <v>33</v>
      </c>
      <c r="C28" s="102" t="s">
        <v>218</v>
      </c>
      <c r="D28" s="17" t="s">
        <v>32</v>
      </c>
      <c r="E28" s="45">
        <v>1</v>
      </c>
      <c r="F28" s="17">
        <v>2009</v>
      </c>
      <c r="G28" s="23"/>
      <c r="H28" s="24">
        <f>((1.11*52)*Q3)*(105.9/89.1)</f>
        <v>89.870234343434348</v>
      </c>
      <c r="I28" s="24">
        <f>((2.68*SQRT(52))*Q3)*(105.9/89.1)</f>
        <v>30.09026535029184</v>
      </c>
      <c r="J28" s="25"/>
      <c r="K28" s="24">
        <f>((9.74*52)*Q3)*(105.9/89.1)</f>
        <v>788.59106531986549</v>
      </c>
      <c r="L28" s="24">
        <f>((50.63*SQRT(52))*Q3)*(105.9/89.1)</f>
        <v>568.45900547958047</v>
      </c>
      <c r="M28" s="25"/>
      <c r="N28" s="24">
        <f>((0.12*52)*Q3)*(105.9/89.1)</f>
        <v>9.7157010101010108</v>
      </c>
      <c r="O28" s="24">
        <f>((0.42*SQRT(52))*Q3)*(105.9/89.1)</f>
        <v>4.7156385996726016</v>
      </c>
      <c r="P28" s="25"/>
      <c r="Q28" s="26">
        <f>((10.97*52)*Q3)*(105.9/89.1)</f>
        <v>888.17700067340081</v>
      </c>
      <c r="R28" s="26">
        <f>((50.47*SQRT(52))*Q3)*(105.9/89.1)</f>
        <v>566.66257172732423</v>
      </c>
      <c r="S28" s="25"/>
      <c r="T28" s="24">
        <f>((2.04*52)*Q3)*(105.9/89.1)</f>
        <v>165.16691717171716</v>
      </c>
      <c r="U28" s="24">
        <f>((2.8*SQRT(52))*Q3)*(105.9/89.1)</f>
        <v>31.437590664484006</v>
      </c>
      <c r="V28" s="25"/>
      <c r="W28" s="24">
        <f>((9.34*52)*Q3)*(105.9/89.1)</f>
        <v>756.20539528619531</v>
      </c>
      <c r="X28" s="24">
        <f>((24.41*SQRT(52))*Q3)*(105.9/89.1)</f>
        <v>274.06842432859094</v>
      </c>
      <c r="Y28" s="25"/>
      <c r="Z28" s="24">
        <f>((4.06*52)*Q3)*(105.9/89.1)</f>
        <v>328.71455084175079</v>
      </c>
      <c r="AA28" s="24">
        <f>((10.47*SQRT(52))*Q3)*(105.9/89.12)</f>
        <v>117.5277525740248</v>
      </c>
      <c r="AB28" s="25"/>
      <c r="AC28" s="24">
        <f>((0.45*52)*Q3)*(105.9/89.1)</f>
        <v>36.43387878787879</v>
      </c>
      <c r="AD28" s="24">
        <f>((2.34*SQRT(52))*Q3)*(105.9/89.1)</f>
        <v>26.272843626747349</v>
      </c>
      <c r="AE28" s="25"/>
      <c r="AF28" s="24">
        <f>((0.08*52)*Q3)*(105.9/89.1)</f>
        <v>6.4771340067340075</v>
      </c>
      <c r="AG28" s="24">
        <f>((0.39*SQRT(52))*Q3)*(105.9/89.1)</f>
        <v>4.3788072711245585</v>
      </c>
      <c r="AH28" s="25"/>
      <c r="AI28" s="24">
        <f>((4.78*52)*Q3)*(105.9/89.1)</f>
        <v>387.00875690235694</v>
      </c>
      <c r="AJ28" s="24">
        <f>((10.31*SQRT(52))*Q3)*(105.9/89.1)</f>
        <v>115.75769991101076</v>
      </c>
      <c r="AK28" s="25"/>
      <c r="AL28" s="24">
        <f>((32.68*52)*Q3)*(105.9/89.1)</f>
        <v>2645.9092417508418</v>
      </c>
      <c r="AM28" s="24">
        <f>((47.93*SQRT(52))*Q3)*(105.9/89.1)</f>
        <v>538.14418591025662</v>
      </c>
      <c r="AN28" s="25"/>
      <c r="AO28" s="32"/>
      <c r="AP28" s="32"/>
      <c r="AQ28" s="25"/>
      <c r="AR28" s="24">
        <f>((0.03*52)*Q3)*(105.9/89.1)</f>
        <v>2.4289252525252527</v>
      </c>
      <c r="AS28" s="24">
        <f>((0.17*SQRT(52))*Q3)*(105.9/89.1)</f>
        <v>1.9087108617722433</v>
      </c>
      <c r="AT28" s="25"/>
      <c r="AU28" s="24">
        <f>((7.38*52)*Q3)*(105.9/89.1)</f>
        <v>597.51561212121214</v>
      </c>
      <c r="AV28" s="24">
        <f>((19.27*SQRT(52))*Q3)*(105.9/89.1)</f>
        <v>216.3579900373596</v>
      </c>
      <c r="AW28" s="25"/>
      <c r="AX28" s="24">
        <f>((5.4*52)*Q3)*(105.9/89.1)</f>
        <v>437.20654545454551</v>
      </c>
      <c r="AY28" s="24">
        <f>((12.97*SQRT(52))*Q3)*(105.9/89.1)</f>
        <v>145.62341104227056</v>
      </c>
      <c r="AZ28" s="25"/>
      <c r="BA28" s="24">
        <f>((7.62*52)*Q3)*(105.9/89.1)</f>
        <v>616.94701414141423</v>
      </c>
      <c r="BB28" s="24">
        <f>((11.51*SQRT(52))*Q3)*(105.9/89.1)</f>
        <v>129.23095305293248</v>
      </c>
      <c r="BC28" s="25"/>
      <c r="BD28" s="24">
        <f>((21.22*52)*Q3)*(105.9/89.1)</f>
        <v>1718.0597952861956</v>
      </c>
      <c r="BE28" s="24">
        <f>((48.09*SQRT(52))*Q3)*(105.9/89.1)</f>
        <v>539.94061966251297</v>
      </c>
      <c r="BF28" s="25"/>
      <c r="BG28" s="24">
        <f>((1.79*52)*Q3)*(105.9/89.1)</f>
        <v>144.9258734006734</v>
      </c>
      <c r="BH28" s="24">
        <f>((3.62*SQRT(52))*Q3)*(105.9/89.1)</f>
        <v>40.64431364479718</v>
      </c>
      <c r="BI28" s="25"/>
      <c r="BJ28" s="24">
        <f>((0.85*52)*Q3)*(105.9/89.12)</f>
        <v>68.80410457809694</v>
      </c>
      <c r="BK28" s="24">
        <f>((0.7*SQRT(52))*Q3)*(105.9/89.1)</f>
        <v>7.8593976661210014</v>
      </c>
      <c r="BL28" s="25"/>
      <c r="BM28" s="24">
        <f>((0.62*52)*Q3)*(105.9/89.1)</f>
        <v>50.197788552188555</v>
      </c>
      <c r="BN28" s="24">
        <f>((1.26*SQRT(52))*Q3)*(105.9/89.12)</f>
        <v>14.143740997447109</v>
      </c>
      <c r="BO28" s="25"/>
      <c r="BP28" s="24"/>
      <c r="BQ28" s="24"/>
      <c r="BR28" s="25"/>
      <c r="BS28" s="24">
        <f>((107.01*52)*Q3)*(105.9/89.1)</f>
        <v>8663.9763757575765</v>
      </c>
      <c r="BT28" s="24">
        <f>((373.02*SQRT(52))*Q3)*(105.9/89.1)</f>
        <v>4188.1607391663656</v>
      </c>
      <c r="BU28" s="25"/>
      <c r="BV28" s="32"/>
      <c r="BW28" s="32"/>
      <c r="BX28" s="25"/>
      <c r="BY28" s="32"/>
      <c r="BZ28" s="32"/>
      <c r="CA28" s="25"/>
      <c r="CB28" s="32"/>
      <c r="CC28" s="32"/>
      <c r="CD28" s="25"/>
      <c r="CE28" s="24">
        <f>((16.24*52)*Q3)*(105.9/89.1)</f>
        <v>1314.8582033670032</v>
      </c>
      <c r="CF28" s="24">
        <f>((53.6*SQRT(52))*Q3)*(105.9/89.1)</f>
        <v>601.80530700583677</v>
      </c>
      <c r="CG28" s="25"/>
      <c r="CH28" s="26">
        <f>((221.14*52)*Q3)*(105.9/89.1)</f>
        <v>17904.417678114478</v>
      </c>
      <c r="CI28" s="26">
        <f>((452.77*SQRT(52))*Q3)*(105.9/89.1)</f>
        <v>5083.5706875565802</v>
      </c>
      <c r="CJ28" s="25"/>
      <c r="CK28" s="32"/>
      <c r="CL28" s="32"/>
      <c r="CM28" s="25"/>
      <c r="CN28" s="32"/>
      <c r="CO28" s="32"/>
      <c r="CP28" s="25"/>
      <c r="CQ28" s="28"/>
      <c r="CR28" s="25"/>
      <c r="CS28" s="23"/>
      <c r="CT28" s="30"/>
      <c r="CU28" s="30"/>
      <c r="CV28" s="27"/>
      <c r="CW28" s="30"/>
      <c r="CX28" s="30"/>
      <c r="CY28" s="27"/>
      <c r="CZ28" s="30"/>
      <c r="DA28" s="30"/>
      <c r="DB28" s="27"/>
      <c r="DC28" s="30"/>
      <c r="DD28" s="30"/>
      <c r="DE28" s="27"/>
      <c r="DF28" s="114"/>
      <c r="DG28" s="114"/>
      <c r="DH28" s="27"/>
      <c r="DI28" s="26"/>
      <c r="DJ28" s="26"/>
      <c r="DK28" s="25"/>
      <c r="DL28" s="24">
        <f>((456.33*52)*Q3)*(105.9/89.1)</f>
        <v>36946.382016161617</v>
      </c>
      <c r="DM28" s="24">
        <v>0</v>
      </c>
      <c r="DN28" s="25"/>
      <c r="DO28" s="24">
        <f>((1486.33*52)*Q3)*(105.9/89.1)</f>
        <v>120339.48235286197</v>
      </c>
      <c r="DP28" s="24">
        <v>0</v>
      </c>
      <c r="DQ28" s="25"/>
      <c r="DR28" s="24">
        <f>((129*52)*Q3)*(105.9/89.14)</f>
        <v>10439.691855508188</v>
      </c>
      <c r="DS28" s="24">
        <v>0</v>
      </c>
      <c r="DT28" s="25"/>
      <c r="DU28" s="26">
        <f>((560.48*52)*Q3)*(105.9/89.1)</f>
        <v>45378.800851178457</v>
      </c>
      <c r="DV28" s="26">
        <f>((410.54*SQRT(52))*Q3)*(105.9/89.1)</f>
        <v>4609.4244540704522</v>
      </c>
      <c r="DW28" s="25"/>
      <c r="DX28" s="24">
        <f>((29.65*52)*Q3)*(105.9/89.1)</f>
        <v>2400.5877912457913</v>
      </c>
      <c r="DY28" s="24">
        <f>((94.23*SQRT(52))*Q3)*(105.9/89.14)</f>
        <v>1057.5124499054723</v>
      </c>
      <c r="DZ28" s="25"/>
      <c r="EA28" s="24">
        <f>((26.49*52)*Q3)*(105.9/89.1)</f>
        <v>2144.7409979797981</v>
      </c>
      <c r="EB28" s="24">
        <f>((40.89*SQRT(52))*Q3)*(105.9/89.1)</f>
        <v>459.10110081098253</v>
      </c>
      <c r="EC28" s="25"/>
      <c r="ED28" s="24">
        <f>((0.37*52)*Q3)*(105.9/89.1)</f>
        <v>29.956744781144781</v>
      </c>
      <c r="EE28" s="24">
        <f>((1.44*SQRT(52))*Q3)*(105.9/89.1)</f>
        <v>16.167903770306058</v>
      </c>
      <c r="EF28" s="25"/>
      <c r="EG28" s="24">
        <f>((30.84*52)*Q3)*(105.9/89.1)</f>
        <v>2496.9351595959597</v>
      </c>
      <c r="EH28" s="24">
        <f>((97.57*SQRT(52))*Q3)*(105.9/89.14)</f>
        <v>1094.9961767725451</v>
      </c>
      <c r="EI28" s="25"/>
      <c r="EJ28" s="32"/>
      <c r="EK28" s="32"/>
      <c r="EL28" s="25"/>
      <c r="EM28" s="26">
        <f>((87.35*52)*Q3)*(105.9/89.14)</f>
        <v>7069.0471595243444</v>
      </c>
      <c r="EN28" s="26">
        <f>((124.1*SQRT(52))*Q3)*(105.9/89.1)</f>
        <v>1393.3589290937375</v>
      </c>
      <c r="EO28" s="25"/>
      <c r="EP28" s="24"/>
      <c r="EQ28" s="24"/>
      <c r="ER28" s="25"/>
      <c r="ES28" s="24"/>
      <c r="ET28" s="24"/>
      <c r="EU28" s="25"/>
      <c r="EV28" s="24"/>
      <c r="EW28" s="24"/>
      <c r="EX28" s="25"/>
      <c r="EY28" s="118"/>
      <c r="EZ28" s="25"/>
      <c r="FA28" s="25"/>
      <c r="FB28" s="24"/>
      <c r="FC28" s="24"/>
      <c r="FD28" s="25"/>
      <c r="FE28" s="24"/>
      <c r="FF28" s="24"/>
      <c r="FG28" s="25"/>
      <c r="FH28" s="24"/>
      <c r="FI28" s="24"/>
      <c r="FJ28" s="25"/>
      <c r="FK28" s="26"/>
      <c r="FL28" s="25"/>
      <c r="FM28" s="25"/>
      <c r="FN28" s="24"/>
      <c r="FO28" s="24"/>
      <c r="FP28" s="25"/>
      <c r="FQ28" s="24"/>
      <c r="FR28" s="24"/>
      <c r="FS28" s="25"/>
      <c r="FT28" s="32">
        <f>((0.3*52)*Q3)*(105.9/89.1)</f>
        <v>24.289252525252525</v>
      </c>
      <c r="FU28" s="32">
        <f>((1.14*SQRT(52))*Q3)*(105.9/89.18)</f>
        <v>12.788108457030315</v>
      </c>
      <c r="FV28" s="25"/>
      <c r="FW28" s="26"/>
      <c r="FX28" s="25"/>
      <c r="FY28" s="31"/>
      <c r="FZ28" s="25"/>
      <c r="GA28" s="25"/>
      <c r="GB28" s="25"/>
      <c r="GC28" s="25"/>
      <c r="GD28" s="84"/>
      <c r="GE28" s="84"/>
      <c r="GF28" s="84"/>
      <c r="GG28" s="84"/>
      <c r="GH28" s="84"/>
      <c r="GI28" s="84"/>
      <c r="GJ28" s="84"/>
      <c r="GK28" s="84"/>
      <c r="GL28" s="84"/>
      <c r="GM28" s="84"/>
      <c r="GN28" s="84"/>
      <c r="GO28" s="84"/>
      <c r="GP28" s="84"/>
      <c r="GQ28" s="84"/>
      <c r="GR28" s="84"/>
      <c r="GS28" s="84"/>
      <c r="GT28" s="84"/>
      <c r="GU28" s="84"/>
      <c r="GV28" s="84"/>
    </row>
    <row r="29" spans="1:204" s="83" customFormat="1" x14ac:dyDescent="0.3">
      <c r="A29" s="4"/>
      <c r="B29" s="23"/>
      <c r="C29" s="23"/>
      <c r="D29" s="23"/>
      <c r="E29" s="43"/>
      <c r="F29" s="23"/>
      <c r="G29" s="23"/>
      <c r="H29" s="31"/>
      <c r="I29" s="31"/>
      <c r="J29" s="25"/>
      <c r="K29" s="31"/>
      <c r="L29" s="31"/>
      <c r="M29" s="25"/>
      <c r="N29" s="31"/>
      <c r="O29" s="31"/>
      <c r="P29" s="25"/>
      <c r="Q29" s="31"/>
      <c r="R29" s="31"/>
      <c r="S29" s="25"/>
      <c r="T29" s="31"/>
      <c r="U29" s="31"/>
      <c r="V29" s="25"/>
      <c r="W29" s="31"/>
      <c r="X29" s="31"/>
      <c r="Y29" s="25"/>
      <c r="Z29" s="31"/>
      <c r="AA29" s="31"/>
      <c r="AB29" s="25"/>
      <c r="AC29" s="31"/>
      <c r="AD29" s="31"/>
      <c r="AE29" s="25"/>
      <c r="AF29" s="31"/>
      <c r="AG29" s="31"/>
      <c r="AH29" s="25"/>
      <c r="AI29" s="31"/>
      <c r="AJ29" s="31"/>
      <c r="AK29" s="25"/>
      <c r="AL29" s="31"/>
      <c r="AM29" s="31"/>
      <c r="AN29" s="25"/>
      <c r="AO29" s="31"/>
      <c r="AP29" s="31"/>
      <c r="AQ29" s="25"/>
      <c r="AR29" s="31"/>
      <c r="AS29" s="31"/>
      <c r="AT29" s="25"/>
      <c r="AU29" s="31"/>
      <c r="AV29" s="31"/>
      <c r="AW29" s="25"/>
      <c r="AX29" s="31"/>
      <c r="AY29" s="31"/>
      <c r="AZ29" s="25"/>
      <c r="BA29" s="31"/>
      <c r="BB29" s="31"/>
      <c r="BC29" s="25"/>
      <c r="BD29" s="31"/>
      <c r="BE29" s="31"/>
      <c r="BF29" s="25"/>
      <c r="BG29" s="31"/>
      <c r="BH29" s="31"/>
      <c r="BI29" s="25"/>
      <c r="BJ29" s="31"/>
      <c r="BK29" s="31"/>
      <c r="BL29" s="25"/>
      <c r="BM29" s="31"/>
      <c r="BN29" s="31"/>
      <c r="BO29" s="25"/>
      <c r="BP29" s="31"/>
      <c r="BQ29" s="31"/>
      <c r="BR29" s="25"/>
      <c r="BS29" s="31"/>
      <c r="BT29" s="31"/>
      <c r="BU29" s="25"/>
      <c r="BV29" s="31"/>
      <c r="BW29" s="31"/>
      <c r="BX29" s="25"/>
      <c r="BY29" s="31"/>
      <c r="BZ29" s="31"/>
      <c r="CA29" s="25"/>
      <c r="CB29" s="31"/>
      <c r="CC29" s="31"/>
      <c r="CD29" s="25"/>
      <c r="CE29" s="31"/>
      <c r="CF29" s="31"/>
      <c r="CG29" s="25"/>
      <c r="CH29" s="31"/>
      <c r="CI29" s="31"/>
      <c r="CJ29" s="25"/>
      <c r="CK29" s="31"/>
      <c r="CL29" s="31"/>
      <c r="CM29" s="25"/>
      <c r="CN29" s="31"/>
      <c r="CO29" s="31"/>
      <c r="CP29" s="25"/>
      <c r="CQ29" s="31"/>
      <c r="CR29" s="25"/>
      <c r="CS29" s="23"/>
      <c r="CT29" s="23"/>
      <c r="CU29" s="23"/>
      <c r="CV29" s="27"/>
      <c r="CW29" s="23"/>
      <c r="CX29" s="23"/>
      <c r="CY29" s="27"/>
      <c r="CZ29" s="23"/>
      <c r="DA29" s="23"/>
      <c r="DB29" s="27"/>
      <c r="DC29" s="23"/>
      <c r="DD29" s="23"/>
      <c r="DE29" s="27"/>
      <c r="DF29" s="23"/>
      <c r="DG29" s="23"/>
      <c r="DH29" s="27"/>
      <c r="DI29" s="31"/>
      <c r="DJ29" s="31"/>
      <c r="DK29" s="27"/>
      <c r="DL29" s="31"/>
      <c r="DM29" s="31"/>
      <c r="DN29" s="27"/>
      <c r="DO29" s="31"/>
      <c r="DP29" s="31"/>
      <c r="DQ29" s="27"/>
      <c r="DR29" s="31"/>
      <c r="DS29" s="31"/>
      <c r="DT29" s="27"/>
      <c r="DU29" s="31"/>
      <c r="DV29" s="31"/>
      <c r="DW29" s="27"/>
      <c r="DX29" s="31"/>
      <c r="DY29" s="31"/>
      <c r="DZ29" s="27"/>
      <c r="EA29" s="31"/>
      <c r="EB29" s="31"/>
      <c r="EC29" s="27"/>
      <c r="ED29" s="31"/>
      <c r="EE29" s="31"/>
      <c r="EF29" s="27"/>
      <c r="EG29" s="31"/>
      <c r="EH29" s="31"/>
      <c r="EI29" s="27"/>
      <c r="EJ29" s="23"/>
      <c r="EK29" s="23"/>
      <c r="EL29" s="27"/>
      <c r="EM29" s="31"/>
      <c r="EN29" s="31"/>
      <c r="EO29" s="25"/>
      <c r="EP29" s="31"/>
      <c r="EQ29" s="31"/>
      <c r="ER29" s="25"/>
      <c r="ES29" s="31"/>
      <c r="ET29" s="31"/>
      <c r="EU29" s="25"/>
      <c r="EV29" s="31"/>
      <c r="EW29" s="31"/>
      <c r="EX29" s="25"/>
      <c r="EY29" s="31"/>
      <c r="EZ29" s="25"/>
      <c r="FA29" s="27"/>
      <c r="FB29" s="31"/>
      <c r="FC29" s="31"/>
      <c r="FD29" s="25"/>
      <c r="FE29" s="31"/>
      <c r="FF29" s="31"/>
      <c r="FG29" s="25"/>
      <c r="FH29" s="31"/>
      <c r="FI29" s="31"/>
      <c r="FJ29" s="25"/>
      <c r="FK29" s="31"/>
      <c r="FL29" s="25"/>
      <c r="FM29" s="25"/>
      <c r="FN29" s="31"/>
      <c r="FO29" s="31"/>
      <c r="FP29" s="25"/>
      <c r="FQ29" s="31"/>
      <c r="FR29" s="31"/>
      <c r="FS29" s="25"/>
      <c r="FT29" s="31"/>
      <c r="FU29" s="31"/>
      <c r="FV29" s="25"/>
      <c r="FW29" s="31"/>
      <c r="FX29" s="25"/>
      <c r="FY29" s="31"/>
      <c r="FZ29" s="25"/>
      <c r="GA29" s="25"/>
      <c r="GB29" s="25"/>
      <c r="GC29" s="25"/>
      <c r="GD29" s="84"/>
      <c r="GE29" s="84"/>
      <c r="GF29" s="84"/>
      <c r="GG29" s="84"/>
      <c r="GH29" s="84"/>
      <c r="GI29" s="84"/>
      <c r="GJ29" s="84"/>
      <c r="GK29" s="84"/>
      <c r="GL29" s="84"/>
      <c r="GM29" s="84"/>
      <c r="GN29" s="84"/>
      <c r="GO29" s="84"/>
      <c r="GP29" s="84"/>
      <c r="GQ29" s="84"/>
      <c r="GR29" s="84"/>
      <c r="GS29" s="84"/>
      <c r="GT29" s="84"/>
      <c r="GU29" s="84"/>
      <c r="GV29" s="84"/>
    </row>
    <row r="30" spans="1:204" s="83" customFormat="1" x14ac:dyDescent="0.3">
      <c r="A30" s="4"/>
      <c r="B30" s="130" t="s">
        <v>73</v>
      </c>
      <c r="C30" s="139" t="s">
        <v>213</v>
      </c>
      <c r="D30" s="14" t="s">
        <v>1</v>
      </c>
      <c r="E30" s="42">
        <v>1</v>
      </c>
      <c r="F30" s="138">
        <v>2006</v>
      </c>
      <c r="G30" s="23"/>
      <c r="H30" s="24"/>
      <c r="I30" s="24"/>
      <c r="J30" s="25"/>
      <c r="K30" s="24"/>
      <c r="L30" s="24"/>
      <c r="M30" s="25"/>
      <c r="N30" s="24"/>
      <c r="O30" s="24"/>
      <c r="P30" s="25"/>
      <c r="Q30" s="26">
        <v>0</v>
      </c>
      <c r="R30" s="26" t="s">
        <v>79</v>
      </c>
      <c r="S30" s="25"/>
      <c r="T30" s="24"/>
      <c r="U30" s="24"/>
      <c r="V30" s="25"/>
      <c r="W30" s="24"/>
      <c r="X30" s="24"/>
      <c r="Y30" s="25"/>
      <c r="Z30" s="24"/>
      <c r="AA30" s="24"/>
      <c r="AB30" s="25"/>
      <c r="AC30" s="24"/>
      <c r="AD30" s="24"/>
      <c r="AE30" s="25"/>
      <c r="AF30" s="24"/>
      <c r="AG30" s="24"/>
      <c r="AH30" s="25"/>
      <c r="AI30" s="24"/>
      <c r="AJ30" s="24"/>
      <c r="AK30" s="25"/>
      <c r="AL30" s="24"/>
      <c r="AM30" s="24"/>
      <c r="AN30" s="25"/>
      <c r="AO30" s="32"/>
      <c r="AP30" s="32"/>
      <c r="AQ30" s="25"/>
      <c r="AR30" s="24"/>
      <c r="AS30" s="24"/>
      <c r="AT30" s="25"/>
      <c r="AU30" s="24"/>
      <c r="AV30" s="24"/>
      <c r="AW30" s="25"/>
      <c r="AX30" s="24"/>
      <c r="AY30" s="24"/>
      <c r="AZ30" s="25"/>
      <c r="BA30" s="24"/>
      <c r="BB30" s="24"/>
      <c r="BC30" s="25"/>
      <c r="BD30" s="24"/>
      <c r="BE30" s="24"/>
      <c r="BF30" s="25"/>
      <c r="BG30" s="24"/>
      <c r="BH30" s="24"/>
      <c r="BI30" s="25"/>
      <c r="BJ30" s="24"/>
      <c r="BK30" s="24"/>
      <c r="BL30" s="25"/>
      <c r="BM30" s="24"/>
      <c r="BN30" s="24"/>
      <c r="BO30" s="25"/>
      <c r="BP30" s="24"/>
      <c r="BQ30" s="24"/>
      <c r="BR30" s="25"/>
      <c r="BS30" s="24"/>
      <c r="BT30" s="24"/>
      <c r="BU30" s="25"/>
      <c r="BV30" s="32"/>
      <c r="BW30" s="32"/>
      <c r="BX30" s="25"/>
      <c r="BY30" s="32"/>
      <c r="BZ30" s="32"/>
      <c r="CA30" s="25"/>
      <c r="CB30" s="32"/>
      <c r="CC30" s="32"/>
      <c r="CD30" s="25"/>
      <c r="CE30" s="24"/>
      <c r="CF30" s="24"/>
      <c r="CG30" s="25"/>
      <c r="CH30" s="26">
        <f>(585*Q3)*(105.9/84.4)</f>
        <v>961.569490521327</v>
      </c>
      <c r="CI30" s="26" t="s">
        <v>79</v>
      </c>
      <c r="CJ30" s="25"/>
      <c r="CK30" s="32">
        <v>0</v>
      </c>
      <c r="CL30" s="32" t="s">
        <v>79</v>
      </c>
      <c r="CM30" s="25"/>
      <c r="CN30" s="32"/>
      <c r="CO30" s="32"/>
      <c r="CP30" s="25"/>
      <c r="CQ30" s="28"/>
      <c r="CR30" s="25"/>
      <c r="CS30" s="23"/>
      <c r="CT30" s="32"/>
      <c r="CU30" s="32"/>
      <c r="CV30" s="25"/>
      <c r="CW30" s="32"/>
      <c r="CX30" s="32"/>
      <c r="CY30" s="25"/>
      <c r="CZ30" s="32"/>
      <c r="DA30" s="32"/>
      <c r="DB30" s="25"/>
      <c r="DC30" s="32">
        <v>0</v>
      </c>
      <c r="DD30" s="32" t="s">
        <v>79</v>
      </c>
      <c r="DE30" s="25"/>
      <c r="DF30" s="32"/>
      <c r="DG30" s="32"/>
      <c r="DH30" s="25"/>
      <c r="DI30" s="26">
        <f>(544*Q3)*(105.9/84.4)</f>
        <v>894.17744075829376</v>
      </c>
      <c r="DJ30" s="26" t="s">
        <v>79</v>
      </c>
      <c r="DK30" s="25"/>
      <c r="DL30" s="24"/>
      <c r="DM30" s="24"/>
      <c r="DN30" s="25"/>
      <c r="DO30" s="24"/>
      <c r="DP30" s="24"/>
      <c r="DQ30" s="25"/>
      <c r="DR30" s="24"/>
      <c r="DS30" s="24"/>
      <c r="DT30" s="25"/>
      <c r="DU30" s="26">
        <v>0</v>
      </c>
      <c r="DV30" s="26" t="s">
        <v>79</v>
      </c>
      <c r="DW30" s="25"/>
      <c r="DX30" s="24"/>
      <c r="DY30" s="24"/>
      <c r="DZ30" s="25"/>
      <c r="EA30" s="24"/>
      <c r="EB30" s="24"/>
      <c r="EC30" s="25"/>
      <c r="ED30" s="24"/>
      <c r="EE30" s="24"/>
      <c r="EF30" s="25"/>
      <c r="EG30" s="24"/>
      <c r="EH30" s="24"/>
      <c r="EI30" s="25"/>
      <c r="EJ30" s="32"/>
      <c r="EK30" s="32"/>
      <c r="EL30" s="25"/>
      <c r="EM30" s="26"/>
      <c r="EN30" s="26"/>
      <c r="EO30" s="25"/>
      <c r="EP30" s="32">
        <f>(3626*Q3)*(27040/20800)</f>
        <v>6175.0780000000004</v>
      </c>
      <c r="EQ30" s="32" t="s">
        <v>79</v>
      </c>
      <c r="ER30" s="25"/>
      <c r="ES30" s="24"/>
      <c r="ET30" s="24"/>
      <c r="EU30" s="25"/>
      <c r="EV30" s="24"/>
      <c r="EW30" s="24"/>
      <c r="EX30" s="25"/>
      <c r="EY30" s="118"/>
      <c r="EZ30" s="25"/>
      <c r="FA30" s="25"/>
      <c r="FB30" s="32">
        <f>(0)*(27040/20800)</f>
        <v>0</v>
      </c>
      <c r="FC30" s="32" t="s">
        <v>79</v>
      </c>
      <c r="FD30" s="25"/>
      <c r="FE30" s="24"/>
      <c r="FF30" s="24"/>
      <c r="FG30" s="25"/>
      <c r="FH30" s="24"/>
      <c r="FI30" s="24"/>
      <c r="FJ30" s="25"/>
      <c r="FK30" s="26"/>
      <c r="FL30" s="25"/>
      <c r="FM30" s="25"/>
      <c r="FN30" s="32">
        <f>(0)*(27040/20800)</f>
        <v>0</v>
      </c>
      <c r="FO30" s="32" t="s">
        <v>79</v>
      </c>
      <c r="FP30" s="25"/>
      <c r="FQ30" s="24"/>
      <c r="FR30" s="24"/>
      <c r="FS30" s="25"/>
      <c r="FT30" s="24"/>
      <c r="FU30" s="24"/>
      <c r="FV30" s="25"/>
      <c r="FW30" s="26"/>
      <c r="FX30" s="25"/>
      <c r="FY30" s="31"/>
      <c r="FZ30" s="25"/>
      <c r="GA30" s="25"/>
      <c r="GB30" s="25"/>
      <c r="GC30" s="25"/>
      <c r="GD30" s="84"/>
      <c r="GE30" s="84"/>
      <c r="GF30" s="84"/>
      <c r="GG30" s="84"/>
      <c r="GH30" s="84"/>
      <c r="GI30" s="84"/>
      <c r="GJ30" s="84"/>
      <c r="GK30" s="84"/>
      <c r="GL30" s="84"/>
      <c r="GM30" s="84"/>
      <c r="GN30" s="84"/>
      <c r="GO30" s="84"/>
      <c r="GP30" s="84"/>
      <c r="GQ30" s="84"/>
      <c r="GR30" s="84"/>
      <c r="GS30" s="84"/>
      <c r="GT30" s="84"/>
      <c r="GU30" s="84"/>
      <c r="GV30" s="84"/>
    </row>
    <row r="31" spans="1:204" s="83" customFormat="1" x14ac:dyDescent="0.3">
      <c r="A31" s="4"/>
      <c r="B31" s="131"/>
      <c r="C31" s="136"/>
      <c r="D31" s="29" t="s">
        <v>0</v>
      </c>
      <c r="E31" s="42">
        <v>1</v>
      </c>
      <c r="F31" s="136"/>
      <c r="G31" s="23"/>
      <c r="H31" s="24"/>
      <c r="I31" s="24"/>
      <c r="J31" s="25"/>
      <c r="K31" s="24"/>
      <c r="L31" s="24"/>
      <c r="M31" s="25"/>
      <c r="N31" s="24"/>
      <c r="O31" s="24"/>
      <c r="P31" s="25"/>
      <c r="Q31" s="26">
        <f>(862*Q3)*(105.9/84.4)</f>
        <v>1416.8767535545023</v>
      </c>
      <c r="R31" s="26" t="s">
        <v>79</v>
      </c>
      <c r="S31" s="25"/>
      <c r="T31" s="24"/>
      <c r="U31" s="24"/>
      <c r="V31" s="25"/>
      <c r="W31" s="24"/>
      <c r="X31" s="24"/>
      <c r="Y31" s="25"/>
      <c r="Z31" s="24"/>
      <c r="AA31" s="24"/>
      <c r="AB31" s="25"/>
      <c r="AC31" s="24"/>
      <c r="AD31" s="24"/>
      <c r="AE31" s="25"/>
      <c r="AF31" s="24"/>
      <c r="AG31" s="24"/>
      <c r="AH31" s="25"/>
      <c r="AI31" s="24"/>
      <c r="AJ31" s="24"/>
      <c r="AK31" s="25"/>
      <c r="AL31" s="24"/>
      <c r="AM31" s="24"/>
      <c r="AN31" s="25"/>
      <c r="AO31" s="32"/>
      <c r="AP31" s="32"/>
      <c r="AQ31" s="25"/>
      <c r="AR31" s="24"/>
      <c r="AS31" s="24"/>
      <c r="AT31" s="25"/>
      <c r="AU31" s="24"/>
      <c r="AV31" s="24"/>
      <c r="AW31" s="25"/>
      <c r="AX31" s="24"/>
      <c r="AY31" s="24"/>
      <c r="AZ31" s="25"/>
      <c r="BA31" s="24"/>
      <c r="BB31" s="24"/>
      <c r="BC31" s="25"/>
      <c r="BD31" s="24"/>
      <c r="BE31" s="24"/>
      <c r="BF31" s="25"/>
      <c r="BG31" s="24"/>
      <c r="BH31" s="24"/>
      <c r="BI31" s="25"/>
      <c r="BJ31" s="24"/>
      <c r="BK31" s="24"/>
      <c r="BL31" s="25"/>
      <c r="BM31" s="24"/>
      <c r="BN31" s="24"/>
      <c r="BO31" s="25"/>
      <c r="BP31" s="24"/>
      <c r="BQ31" s="24"/>
      <c r="BR31" s="25"/>
      <c r="BS31" s="24"/>
      <c r="BT31" s="24"/>
      <c r="BU31" s="25"/>
      <c r="BV31" s="32"/>
      <c r="BW31" s="32"/>
      <c r="BX31" s="25"/>
      <c r="BY31" s="32"/>
      <c r="BZ31" s="32"/>
      <c r="CA31" s="25"/>
      <c r="CB31" s="32"/>
      <c r="CC31" s="32"/>
      <c r="CD31" s="25"/>
      <c r="CE31" s="24"/>
      <c r="CF31" s="24"/>
      <c r="CG31" s="25"/>
      <c r="CH31" s="26">
        <f>(6908*Q3)*(105.9/84.4)</f>
        <v>11354.738530805686</v>
      </c>
      <c r="CI31" s="26" t="s">
        <v>79</v>
      </c>
      <c r="CJ31" s="25"/>
      <c r="CK31" s="32">
        <f>(18*Q3)*(105.9/84.44)</f>
        <v>29.572738038844154</v>
      </c>
      <c r="CL31" s="32" t="s">
        <v>79</v>
      </c>
      <c r="CM31" s="25"/>
      <c r="CN31" s="32"/>
      <c r="CO31" s="32"/>
      <c r="CP31" s="25"/>
      <c r="CQ31" s="28"/>
      <c r="CR31" s="25"/>
      <c r="CS31" s="23"/>
      <c r="CT31" s="32"/>
      <c r="CU31" s="32"/>
      <c r="CV31" s="25"/>
      <c r="CW31" s="32"/>
      <c r="CX31" s="32"/>
      <c r="CY31" s="25"/>
      <c r="CZ31" s="32"/>
      <c r="DA31" s="32"/>
      <c r="DB31" s="25"/>
      <c r="DC31" s="32">
        <f>(2790*Q3)*(105.9/84.4)</f>
        <v>4585.9468009478669</v>
      </c>
      <c r="DD31" s="32" t="s">
        <v>79</v>
      </c>
      <c r="DE31" s="25"/>
      <c r="DF31" s="32"/>
      <c r="DG31" s="32"/>
      <c r="DH31" s="25"/>
      <c r="DI31" s="26">
        <f>(286*Q3)*(105.9/84.4)</f>
        <v>470.10063981042657</v>
      </c>
      <c r="DJ31" s="26" t="s">
        <v>79</v>
      </c>
      <c r="DK31" s="25"/>
      <c r="DL31" s="24"/>
      <c r="DM31" s="24"/>
      <c r="DN31" s="25"/>
      <c r="DO31" s="24"/>
      <c r="DP31" s="24"/>
      <c r="DQ31" s="25"/>
      <c r="DR31" s="24"/>
      <c r="DS31" s="24"/>
      <c r="DT31" s="25"/>
      <c r="DU31" s="26">
        <f>(10326*Q3)*(105.9/84.4)</f>
        <v>16972.934289099529</v>
      </c>
      <c r="DV31" s="26" t="s">
        <v>79</v>
      </c>
      <c r="DW31" s="25"/>
      <c r="DX31" s="24"/>
      <c r="DY31" s="24"/>
      <c r="DZ31" s="25"/>
      <c r="EA31" s="24"/>
      <c r="EB31" s="24"/>
      <c r="EC31" s="25"/>
      <c r="ED31" s="24"/>
      <c r="EE31" s="24"/>
      <c r="EF31" s="25"/>
      <c r="EG31" s="24"/>
      <c r="EH31" s="24"/>
      <c r="EI31" s="25"/>
      <c r="EJ31" s="32"/>
      <c r="EK31" s="32"/>
      <c r="EL31" s="25"/>
      <c r="EM31" s="26"/>
      <c r="EN31" s="26"/>
      <c r="EO31" s="25"/>
      <c r="EP31" s="32">
        <f>(3949*Q3)*(27040/20800)</f>
        <v>6725.1470000000008</v>
      </c>
      <c r="EQ31" s="32" t="s">
        <v>79</v>
      </c>
      <c r="ER31" s="25"/>
      <c r="ES31" s="24"/>
      <c r="ET31" s="24"/>
      <c r="EU31" s="25"/>
      <c r="EV31" s="24"/>
      <c r="EW31" s="24"/>
      <c r="EX31" s="25"/>
      <c r="EY31" s="118"/>
      <c r="EZ31" s="25"/>
      <c r="FA31" s="25"/>
      <c r="FB31" s="32">
        <f>(832*Q3)*(27040/20800)</f>
        <v>1416.8960000000002</v>
      </c>
      <c r="FC31" s="32" t="s">
        <v>79</v>
      </c>
      <c r="FD31" s="25"/>
      <c r="FE31" s="24"/>
      <c r="FF31" s="24"/>
      <c r="FG31" s="25"/>
      <c r="FH31" s="24"/>
      <c r="FI31" s="24"/>
      <c r="FJ31" s="25"/>
      <c r="FK31" s="26"/>
      <c r="FL31" s="25"/>
      <c r="FM31" s="25"/>
      <c r="FN31" s="32">
        <f>(2059*Q3)*(27040/20800)</f>
        <v>3506.4769999999999</v>
      </c>
      <c r="FO31" s="32" t="s">
        <v>79</v>
      </c>
      <c r="FP31" s="25"/>
      <c r="FQ31" s="24"/>
      <c r="FR31" s="24"/>
      <c r="FS31" s="25"/>
      <c r="FT31" s="24"/>
      <c r="FU31" s="24"/>
      <c r="FV31" s="25"/>
      <c r="FW31" s="26"/>
      <c r="FX31" s="25"/>
      <c r="FY31" s="31"/>
      <c r="FZ31" s="27"/>
      <c r="GA31" s="27"/>
      <c r="GB31" s="27"/>
      <c r="GC31" s="27"/>
    </row>
    <row r="32" spans="1:204" s="83" customFormat="1" x14ac:dyDescent="0.3">
      <c r="A32" s="4"/>
      <c r="B32" s="131"/>
      <c r="C32" s="136"/>
      <c r="D32" s="14" t="s">
        <v>2</v>
      </c>
      <c r="E32" s="42">
        <v>1</v>
      </c>
      <c r="F32" s="136"/>
      <c r="G32" s="23"/>
      <c r="H32" s="24"/>
      <c r="I32" s="24"/>
      <c r="J32" s="25"/>
      <c r="K32" s="24"/>
      <c r="L32" s="24"/>
      <c r="M32" s="25"/>
      <c r="N32" s="24"/>
      <c r="O32" s="24"/>
      <c r="P32" s="25"/>
      <c r="Q32" s="26">
        <f>(1587*Q3)*(105.9/84.4)</f>
        <v>2608.5654383886258</v>
      </c>
      <c r="R32" s="26" t="s">
        <v>79</v>
      </c>
      <c r="S32" s="25"/>
      <c r="T32" s="24"/>
      <c r="U32" s="24"/>
      <c r="V32" s="25"/>
      <c r="W32" s="24"/>
      <c r="X32" s="24"/>
      <c r="Y32" s="25"/>
      <c r="Z32" s="24"/>
      <c r="AA32" s="24"/>
      <c r="AB32" s="25"/>
      <c r="AC32" s="24"/>
      <c r="AD32" s="24"/>
      <c r="AE32" s="25"/>
      <c r="AF32" s="24"/>
      <c r="AG32" s="24"/>
      <c r="AH32" s="25"/>
      <c r="AI32" s="24"/>
      <c r="AJ32" s="24"/>
      <c r="AK32" s="25"/>
      <c r="AL32" s="24"/>
      <c r="AM32" s="24"/>
      <c r="AN32" s="25"/>
      <c r="AO32" s="32"/>
      <c r="AP32" s="32"/>
      <c r="AQ32" s="25"/>
      <c r="AR32" s="24"/>
      <c r="AS32" s="24"/>
      <c r="AT32" s="25"/>
      <c r="AU32" s="24"/>
      <c r="AV32" s="24"/>
      <c r="AW32" s="25"/>
      <c r="AX32" s="24"/>
      <c r="AY32" s="24"/>
      <c r="AZ32" s="25"/>
      <c r="BA32" s="24"/>
      <c r="BB32" s="24"/>
      <c r="BC32" s="25"/>
      <c r="BD32" s="24"/>
      <c r="BE32" s="24"/>
      <c r="BF32" s="25"/>
      <c r="BG32" s="24"/>
      <c r="BH32" s="24"/>
      <c r="BI32" s="25"/>
      <c r="BJ32" s="24"/>
      <c r="BK32" s="24"/>
      <c r="BL32" s="25"/>
      <c r="BM32" s="24"/>
      <c r="BN32" s="24"/>
      <c r="BO32" s="25"/>
      <c r="BP32" s="24"/>
      <c r="BQ32" s="24"/>
      <c r="BR32" s="25"/>
      <c r="BS32" s="24"/>
      <c r="BT32" s="24"/>
      <c r="BU32" s="25"/>
      <c r="BV32" s="32"/>
      <c r="BW32" s="32"/>
      <c r="BX32" s="25"/>
      <c r="BY32" s="32"/>
      <c r="BZ32" s="32"/>
      <c r="CA32" s="25"/>
      <c r="CB32" s="32"/>
      <c r="CC32" s="32"/>
      <c r="CD32" s="25"/>
      <c r="CE32" s="24"/>
      <c r="CF32" s="24"/>
      <c r="CG32" s="25"/>
      <c r="CH32" s="26">
        <f>(400*Q3)*(105.9/84.4)</f>
        <v>657.48341232227483</v>
      </c>
      <c r="CI32" s="26" t="s">
        <v>79</v>
      </c>
      <c r="CJ32" s="25"/>
      <c r="CK32" s="32">
        <f>(15*Q3)*(105.9/84.4)</f>
        <v>24.655627962085308</v>
      </c>
      <c r="CL32" s="32" t="s">
        <v>79</v>
      </c>
      <c r="CM32" s="25"/>
      <c r="CN32" s="32"/>
      <c r="CO32" s="32"/>
      <c r="CP32" s="25"/>
      <c r="CQ32" s="28"/>
      <c r="CR32" s="25"/>
      <c r="CS32" s="23"/>
      <c r="CT32" s="32"/>
      <c r="CU32" s="32"/>
      <c r="CV32" s="25"/>
      <c r="CW32" s="32"/>
      <c r="CX32" s="32"/>
      <c r="CY32" s="25"/>
      <c r="CZ32" s="32"/>
      <c r="DA32" s="32"/>
      <c r="DB32" s="25"/>
      <c r="DC32" s="32">
        <f>(3559*Q3)*(105.9/84.4)</f>
        <v>5849.9586611374407</v>
      </c>
      <c r="DD32" s="32" t="s">
        <v>79</v>
      </c>
      <c r="DE32" s="25"/>
      <c r="DF32" s="32"/>
      <c r="DG32" s="32"/>
      <c r="DH32" s="25"/>
      <c r="DI32" s="26">
        <f>(1082*Q3)*(105.9/84.4)</f>
        <v>1778.4926303317536</v>
      </c>
      <c r="DJ32" s="26" t="s">
        <v>79</v>
      </c>
      <c r="DK32" s="25"/>
      <c r="DL32" s="24"/>
      <c r="DM32" s="24"/>
      <c r="DN32" s="25"/>
      <c r="DO32" s="24"/>
      <c r="DP32" s="24"/>
      <c r="DQ32" s="25"/>
      <c r="DR32" s="24"/>
      <c r="DS32" s="24"/>
      <c r="DT32" s="25"/>
      <c r="DU32" s="26">
        <f>(28606*Q3)*(105.9/84.4)</f>
        <v>47019.926232227488</v>
      </c>
      <c r="DV32" s="26" t="s">
        <v>79</v>
      </c>
      <c r="DW32" s="25"/>
      <c r="DX32" s="24"/>
      <c r="DY32" s="24"/>
      <c r="DZ32" s="25"/>
      <c r="EA32" s="24"/>
      <c r="EB32" s="24"/>
      <c r="EC32" s="25"/>
      <c r="ED32" s="24"/>
      <c r="EE32" s="24"/>
      <c r="EF32" s="25"/>
      <c r="EG32" s="24"/>
      <c r="EH32" s="24"/>
      <c r="EI32" s="25"/>
      <c r="EJ32" s="32"/>
      <c r="EK32" s="32"/>
      <c r="EL32" s="25"/>
      <c r="EM32" s="26"/>
      <c r="EN32" s="26"/>
      <c r="EO32" s="25"/>
      <c r="EP32" s="32">
        <f>(3864*Q3)*(27040/20800)</f>
        <v>6580.3920000000007</v>
      </c>
      <c r="EQ32" s="32" t="s">
        <v>79</v>
      </c>
      <c r="ER32" s="25"/>
      <c r="ES32" s="24"/>
      <c r="ET32" s="24"/>
      <c r="EU32" s="25"/>
      <c r="EV32" s="24"/>
      <c r="EW32" s="24"/>
      <c r="EX32" s="25"/>
      <c r="EY32" s="118"/>
      <c r="EZ32" s="25"/>
      <c r="FA32" s="25"/>
      <c r="FB32" s="32">
        <f>(93*Q3)*(27040/20800)</f>
        <v>158.37899999999999</v>
      </c>
      <c r="FC32" s="32" t="s">
        <v>79</v>
      </c>
      <c r="FD32" s="25"/>
      <c r="FE32" s="24"/>
      <c r="FF32" s="24"/>
      <c r="FG32" s="25"/>
      <c r="FH32" s="24"/>
      <c r="FI32" s="24"/>
      <c r="FJ32" s="25"/>
      <c r="FK32" s="26"/>
      <c r="FL32" s="25"/>
      <c r="FM32" s="25"/>
      <c r="FN32" s="32">
        <f>(2015*Q3)*(27040/20800)</f>
        <v>3431.5450000000001</v>
      </c>
      <c r="FO32" s="32" t="s">
        <v>79</v>
      </c>
      <c r="FP32" s="25"/>
      <c r="FQ32" s="24"/>
      <c r="FR32" s="24"/>
      <c r="FS32" s="25"/>
      <c r="FT32" s="24"/>
      <c r="FU32" s="24"/>
      <c r="FV32" s="25"/>
      <c r="FW32" s="26"/>
      <c r="FX32" s="25"/>
      <c r="FY32" s="31"/>
      <c r="FZ32" s="27"/>
      <c r="GA32" s="27"/>
      <c r="GB32" s="27"/>
      <c r="GC32" s="27"/>
    </row>
    <row r="33" spans="1:185" s="83" customFormat="1" x14ac:dyDescent="0.3">
      <c r="A33" s="4"/>
      <c r="B33" s="131"/>
      <c r="C33" s="136"/>
      <c r="D33" s="14" t="s">
        <v>3</v>
      </c>
      <c r="E33" s="42">
        <v>2</v>
      </c>
      <c r="F33" s="136"/>
      <c r="G33" s="23"/>
      <c r="H33" s="24"/>
      <c r="I33" s="24"/>
      <c r="J33" s="25"/>
      <c r="K33" s="24"/>
      <c r="L33" s="24"/>
      <c r="M33" s="25"/>
      <c r="N33" s="24"/>
      <c r="O33" s="24"/>
      <c r="P33" s="25"/>
      <c r="Q33" s="26">
        <f>(4588*Q3)*(105.9/84.4)</f>
        <v>7541.3347393364929</v>
      </c>
      <c r="R33" s="26" t="s">
        <v>79</v>
      </c>
      <c r="S33" s="25"/>
      <c r="T33" s="24"/>
      <c r="U33" s="24"/>
      <c r="V33" s="25"/>
      <c r="W33" s="24"/>
      <c r="X33" s="24"/>
      <c r="Y33" s="25"/>
      <c r="Z33" s="24"/>
      <c r="AA33" s="24"/>
      <c r="AB33" s="25"/>
      <c r="AC33" s="24"/>
      <c r="AD33" s="24"/>
      <c r="AE33" s="25"/>
      <c r="AF33" s="24"/>
      <c r="AG33" s="24"/>
      <c r="AH33" s="25"/>
      <c r="AI33" s="24"/>
      <c r="AJ33" s="24"/>
      <c r="AK33" s="25"/>
      <c r="AL33" s="24"/>
      <c r="AM33" s="24"/>
      <c r="AN33" s="25"/>
      <c r="AO33" s="32"/>
      <c r="AP33" s="32"/>
      <c r="AQ33" s="25"/>
      <c r="AR33" s="24"/>
      <c r="AS33" s="24"/>
      <c r="AT33" s="25"/>
      <c r="AU33" s="24"/>
      <c r="AV33" s="24"/>
      <c r="AW33" s="25"/>
      <c r="AX33" s="24"/>
      <c r="AY33" s="24"/>
      <c r="AZ33" s="25"/>
      <c r="BA33" s="24"/>
      <c r="BB33" s="24"/>
      <c r="BC33" s="25"/>
      <c r="BD33" s="24"/>
      <c r="BE33" s="24"/>
      <c r="BF33" s="25"/>
      <c r="BG33" s="24"/>
      <c r="BH33" s="24"/>
      <c r="BI33" s="25"/>
      <c r="BJ33" s="24"/>
      <c r="BK33" s="24"/>
      <c r="BL33" s="25"/>
      <c r="BM33" s="24"/>
      <c r="BN33" s="24"/>
      <c r="BO33" s="25"/>
      <c r="BP33" s="24"/>
      <c r="BQ33" s="24"/>
      <c r="BR33" s="25"/>
      <c r="BS33" s="24"/>
      <c r="BT33" s="24"/>
      <c r="BU33" s="25"/>
      <c r="BV33" s="32"/>
      <c r="BW33" s="32"/>
      <c r="BX33" s="25"/>
      <c r="BY33" s="32"/>
      <c r="BZ33" s="32"/>
      <c r="CA33" s="25"/>
      <c r="CB33" s="32"/>
      <c r="CC33" s="32"/>
      <c r="CD33" s="25"/>
      <c r="CE33" s="24"/>
      <c r="CF33" s="24"/>
      <c r="CG33" s="25"/>
      <c r="CH33" s="26">
        <f>(581*Q3)*(105.9/84.4)</f>
        <v>954.99465639810421</v>
      </c>
      <c r="CI33" s="26" t="s">
        <v>79</v>
      </c>
      <c r="CJ33" s="25"/>
      <c r="CK33" s="32">
        <f>(58*Q3)*(105.9/84.4)</f>
        <v>95.335094786729854</v>
      </c>
      <c r="CL33" s="32" t="s">
        <v>79</v>
      </c>
      <c r="CM33" s="25"/>
      <c r="CN33" s="32"/>
      <c r="CO33" s="32"/>
      <c r="CP33" s="25"/>
      <c r="CQ33" s="28"/>
      <c r="CR33" s="25"/>
      <c r="CS33" s="23"/>
      <c r="CT33" s="32">
        <f>(36507*Q3)*(105.9/84.4)</f>
        <v>60006.867334123228</v>
      </c>
      <c r="CU33" s="32" t="s">
        <v>79</v>
      </c>
      <c r="CV33" s="25"/>
      <c r="CW33" s="32">
        <f>(87652*Q3)*(105.9/84.4)</f>
        <v>144074.3401421801</v>
      </c>
      <c r="CX33" s="32" t="s">
        <v>79</v>
      </c>
      <c r="CY33" s="25"/>
      <c r="CZ33" s="32">
        <f>(88937*Q3)*(105.9/84.4)</f>
        <v>146186.5056042654</v>
      </c>
      <c r="DA33" s="32" t="s">
        <v>79</v>
      </c>
      <c r="DB33" s="25"/>
      <c r="DC33" s="32">
        <f>(538*Q3)*(105.9/84.4)</f>
        <v>884.31518957345963</v>
      </c>
      <c r="DD33" s="32" t="s">
        <v>79</v>
      </c>
      <c r="DE33" s="25"/>
      <c r="DF33" s="32">
        <f>(97863*Q3)*(105.9/84.4)</f>
        <v>160858.24795023695</v>
      </c>
      <c r="DG33" s="32" t="s">
        <v>79</v>
      </c>
      <c r="DH33" s="25"/>
      <c r="DI33" s="26">
        <f>(36233*Q3)*(105.9/84.4)</f>
        <v>59556.491196682466</v>
      </c>
      <c r="DJ33" s="26" t="s">
        <v>79</v>
      </c>
      <c r="DK33" s="25"/>
      <c r="DL33" s="24"/>
      <c r="DM33" s="24"/>
      <c r="DN33" s="25"/>
      <c r="DO33" s="24"/>
      <c r="DP33" s="24"/>
      <c r="DQ33" s="25"/>
      <c r="DR33" s="24"/>
      <c r="DS33" s="24"/>
      <c r="DT33" s="25"/>
      <c r="DU33" s="26">
        <f>(2286*Q3)*(105.9/84.4)</f>
        <v>3757.5177014218011</v>
      </c>
      <c r="DV33" s="26" t="s">
        <v>79</v>
      </c>
      <c r="DW33" s="25"/>
      <c r="DX33" s="24"/>
      <c r="DY33" s="24"/>
      <c r="DZ33" s="25"/>
      <c r="EA33" s="24"/>
      <c r="EB33" s="24"/>
      <c r="EC33" s="25"/>
      <c r="ED33" s="24"/>
      <c r="EE33" s="24"/>
      <c r="EF33" s="25"/>
      <c r="EG33" s="24"/>
      <c r="EH33" s="24"/>
      <c r="EI33" s="25"/>
      <c r="EJ33" s="32"/>
      <c r="EK33" s="32"/>
      <c r="EL33" s="25"/>
      <c r="EM33" s="26">
        <f>(1998*Q3)*(105.9/84.4)</f>
        <v>3284.1296445497628</v>
      </c>
      <c r="EN33" s="26" t="s">
        <v>79</v>
      </c>
      <c r="EO33" s="25"/>
      <c r="EP33" s="32">
        <f>(4950*Q3)*(27040/20800)</f>
        <v>8429.85</v>
      </c>
      <c r="EQ33" s="32" t="s">
        <v>79</v>
      </c>
      <c r="ER33" s="25"/>
      <c r="ES33" s="24"/>
      <c r="ET33" s="24"/>
      <c r="EU33" s="25"/>
      <c r="EV33" s="32">
        <f>(253*Q3)*(27040/20800)</f>
        <v>430.85900000000004</v>
      </c>
      <c r="EW33" s="32" t="s">
        <v>79</v>
      </c>
      <c r="EX33" s="25"/>
      <c r="EY33" s="118"/>
      <c r="EZ33" s="25"/>
      <c r="FA33" s="25"/>
      <c r="FB33" s="24"/>
      <c r="FC33" s="24"/>
      <c r="FD33" s="25"/>
      <c r="FE33" s="24"/>
      <c r="FF33" s="24"/>
      <c r="FG33" s="25"/>
      <c r="FH33" s="32">
        <f>(762*Q3)*(105.9/84.4)</f>
        <v>1252.5059004739337</v>
      </c>
      <c r="FI33" s="32" t="s">
        <v>79</v>
      </c>
      <c r="FJ33" s="25"/>
      <c r="FK33" s="26"/>
      <c r="FL33" s="25"/>
      <c r="FM33" s="25"/>
      <c r="FN33" s="32">
        <f>(1289*Q3)*(27040/20800)</f>
        <v>2195.1670000000004</v>
      </c>
      <c r="FO33" s="32" t="s">
        <v>79</v>
      </c>
      <c r="FP33" s="25"/>
      <c r="FQ33" s="32">
        <f>(22383*Q3)*(27040/20800)</f>
        <v>38118.249000000003</v>
      </c>
      <c r="FR33" s="32" t="s">
        <v>79</v>
      </c>
      <c r="FS33" s="25"/>
      <c r="FT33" s="24"/>
      <c r="FU33" s="24"/>
      <c r="FV33" s="25"/>
      <c r="FW33" s="26"/>
      <c r="FX33" s="25"/>
      <c r="FY33" s="31"/>
      <c r="FZ33" s="27"/>
      <c r="GA33" s="27"/>
      <c r="GB33" s="27"/>
      <c r="GC33" s="27"/>
    </row>
    <row r="34" spans="1:185" s="83" customFormat="1" x14ac:dyDescent="0.3">
      <c r="A34" s="4"/>
      <c r="B34" s="137"/>
      <c r="C34" s="136"/>
      <c r="D34" s="85" t="s">
        <v>192</v>
      </c>
      <c r="E34" s="42">
        <v>2</v>
      </c>
      <c r="F34" s="136"/>
      <c r="G34" s="23"/>
      <c r="H34" s="24"/>
      <c r="I34" s="24"/>
      <c r="J34" s="25"/>
      <c r="K34" s="24"/>
      <c r="L34" s="24"/>
      <c r="M34" s="25"/>
      <c r="N34" s="24"/>
      <c r="O34" s="24"/>
      <c r="P34" s="25"/>
      <c r="Q34" s="26"/>
      <c r="R34" s="26"/>
      <c r="S34" s="25"/>
      <c r="T34" s="24"/>
      <c r="U34" s="24"/>
      <c r="V34" s="25"/>
      <c r="W34" s="24"/>
      <c r="X34" s="24"/>
      <c r="Y34" s="25"/>
      <c r="Z34" s="24"/>
      <c r="AA34" s="24"/>
      <c r="AB34" s="25"/>
      <c r="AC34" s="24"/>
      <c r="AD34" s="24"/>
      <c r="AE34" s="25"/>
      <c r="AF34" s="24"/>
      <c r="AG34" s="24"/>
      <c r="AH34" s="25"/>
      <c r="AI34" s="24"/>
      <c r="AJ34" s="24"/>
      <c r="AK34" s="25"/>
      <c r="AL34" s="24"/>
      <c r="AM34" s="24"/>
      <c r="AN34" s="25"/>
      <c r="AO34" s="32"/>
      <c r="AP34" s="32"/>
      <c r="AQ34" s="25"/>
      <c r="AR34" s="24"/>
      <c r="AS34" s="24"/>
      <c r="AT34" s="25"/>
      <c r="AU34" s="24"/>
      <c r="AV34" s="24"/>
      <c r="AW34" s="25"/>
      <c r="AX34" s="24"/>
      <c r="AY34" s="24"/>
      <c r="AZ34" s="25"/>
      <c r="BA34" s="24"/>
      <c r="BB34" s="24"/>
      <c r="BC34" s="25"/>
      <c r="BD34" s="24"/>
      <c r="BE34" s="24"/>
      <c r="BF34" s="25"/>
      <c r="BG34" s="24"/>
      <c r="BH34" s="24"/>
      <c r="BI34" s="25"/>
      <c r="BJ34" s="24"/>
      <c r="BK34" s="24"/>
      <c r="BL34" s="25"/>
      <c r="BM34" s="24"/>
      <c r="BN34" s="24"/>
      <c r="BO34" s="25"/>
      <c r="BP34" s="24"/>
      <c r="BQ34" s="24"/>
      <c r="BR34" s="25"/>
      <c r="BS34" s="24"/>
      <c r="BT34" s="24"/>
      <c r="BU34" s="25"/>
      <c r="BV34" s="32"/>
      <c r="BW34" s="32"/>
      <c r="BX34" s="25"/>
      <c r="BY34" s="32"/>
      <c r="BZ34" s="32"/>
      <c r="CA34" s="25"/>
      <c r="CB34" s="32"/>
      <c r="CC34" s="32"/>
      <c r="CD34" s="25"/>
      <c r="CE34" s="24"/>
      <c r="CF34" s="24"/>
      <c r="CG34" s="25"/>
      <c r="CH34" s="26"/>
      <c r="CI34" s="26"/>
      <c r="CJ34" s="25"/>
      <c r="CK34" s="32"/>
      <c r="CL34" s="32"/>
      <c r="CM34" s="25"/>
      <c r="CN34" s="32"/>
      <c r="CO34" s="32"/>
      <c r="CP34" s="25"/>
      <c r="CQ34" s="28"/>
      <c r="CR34" s="25"/>
      <c r="CS34" s="23"/>
      <c r="CT34" s="32"/>
      <c r="CU34" s="32"/>
      <c r="CV34" s="25"/>
      <c r="CW34" s="32"/>
      <c r="CX34" s="32"/>
      <c r="CY34" s="25"/>
      <c r="CZ34" s="32"/>
      <c r="DA34" s="32"/>
      <c r="DB34" s="25"/>
      <c r="DC34" s="32"/>
      <c r="DD34" s="32"/>
      <c r="DE34" s="25"/>
      <c r="DF34" s="32"/>
      <c r="DG34" s="32"/>
      <c r="DH34" s="25"/>
      <c r="DI34" s="26">
        <f>(36507*Q3)*(105.9/84.4)</f>
        <v>60006.867334123228</v>
      </c>
      <c r="DJ34" s="26" t="s">
        <v>79</v>
      </c>
      <c r="DK34" s="25"/>
      <c r="DL34" s="24"/>
      <c r="DM34" s="24"/>
      <c r="DN34" s="25"/>
      <c r="DO34" s="24"/>
      <c r="DP34" s="24"/>
      <c r="DQ34" s="25"/>
      <c r="DR34" s="24"/>
      <c r="DS34" s="24"/>
      <c r="DT34" s="25"/>
      <c r="DU34" s="26"/>
      <c r="DV34" s="26"/>
      <c r="DW34" s="25"/>
      <c r="DX34" s="24"/>
      <c r="DY34" s="24"/>
      <c r="DZ34" s="25"/>
      <c r="EA34" s="24"/>
      <c r="EB34" s="24"/>
      <c r="EC34" s="25"/>
      <c r="ED34" s="24"/>
      <c r="EE34" s="24"/>
      <c r="EF34" s="25"/>
      <c r="EG34" s="24"/>
      <c r="EH34" s="24"/>
      <c r="EI34" s="25"/>
      <c r="EJ34" s="32"/>
      <c r="EK34" s="32"/>
      <c r="EL34" s="25"/>
      <c r="EM34" s="26"/>
      <c r="EN34" s="26"/>
      <c r="EO34" s="25"/>
      <c r="EP34" s="32"/>
      <c r="EQ34" s="32"/>
      <c r="ER34" s="25"/>
      <c r="ES34" s="24"/>
      <c r="ET34" s="24"/>
      <c r="EU34" s="25"/>
      <c r="EV34" s="32"/>
      <c r="EW34" s="32"/>
      <c r="EX34" s="25"/>
      <c r="EY34" s="118"/>
      <c r="EZ34" s="25"/>
      <c r="FA34" s="25"/>
      <c r="FB34" s="24"/>
      <c r="FC34" s="24"/>
      <c r="FD34" s="25"/>
      <c r="FE34" s="24"/>
      <c r="FF34" s="24"/>
      <c r="FG34" s="25"/>
      <c r="FH34" s="32"/>
      <c r="FI34" s="32"/>
      <c r="FJ34" s="25"/>
      <c r="FK34" s="26"/>
      <c r="FL34" s="25"/>
      <c r="FM34" s="25"/>
      <c r="FN34" s="32"/>
      <c r="FO34" s="32"/>
      <c r="FP34" s="25"/>
      <c r="FQ34" s="32"/>
      <c r="FR34" s="32"/>
      <c r="FS34" s="25"/>
      <c r="FT34" s="24"/>
      <c r="FU34" s="24"/>
      <c r="FV34" s="25"/>
      <c r="FW34" s="26"/>
      <c r="FX34" s="25"/>
      <c r="FY34" s="31"/>
      <c r="FZ34" s="27"/>
      <c r="GA34" s="27"/>
      <c r="GB34" s="27"/>
      <c r="GC34" s="27"/>
    </row>
    <row r="35" spans="1:185" s="83" customFormat="1" x14ac:dyDescent="0.3">
      <c r="A35" s="4"/>
      <c r="B35" s="137"/>
      <c r="C35" s="136"/>
      <c r="D35" s="85" t="s">
        <v>193</v>
      </c>
      <c r="E35" s="42">
        <v>2</v>
      </c>
      <c r="F35" s="136"/>
      <c r="G35" s="23"/>
      <c r="H35" s="24"/>
      <c r="I35" s="24"/>
      <c r="J35" s="25"/>
      <c r="K35" s="24"/>
      <c r="L35" s="24"/>
      <c r="M35" s="25"/>
      <c r="N35" s="24"/>
      <c r="O35" s="24"/>
      <c r="P35" s="25"/>
      <c r="Q35" s="26"/>
      <c r="R35" s="26"/>
      <c r="S35" s="25"/>
      <c r="T35" s="24"/>
      <c r="U35" s="24"/>
      <c r="V35" s="25"/>
      <c r="W35" s="24"/>
      <c r="X35" s="24"/>
      <c r="Y35" s="25"/>
      <c r="Z35" s="24"/>
      <c r="AA35" s="24"/>
      <c r="AB35" s="25"/>
      <c r="AC35" s="24"/>
      <c r="AD35" s="24"/>
      <c r="AE35" s="25"/>
      <c r="AF35" s="24"/>
      <c r="AG35" s="24"/>
      <c r="AH35" s="25"/>
      <c r="AI35" s="24"/>
      <c r="AJ35" s="24"/>
      <c r="AK35" s="25"/>
      <c r="AL35" s="24"/>
      <c r="AM35" s="24"/>
      <c r="AN35" s="25"/>
      <c r="AO35" s="32"/>
      <c r="AP35" s="32"/>
      <c r="AQ35" s="25"/>
      <c r="AR35" s="24"/>
      <c r="AS35" s="24"/>
      <c r="AT35" s="25"/>
      <c r="AU35" s="24"/>
      <c r="AV35" s="24"/>
      <c r="AW35" s="25"/>
      <c r="AX35" s="24"/>
      <c r="AY35" s="24"/>
      <c r="AZ35" s="25"/>
      <c r="BA35" s="24"/>
      <c r="BB35" s="24"/>
      <c r="BC35" s="25"/>
      <c r="BD35" s="24"/>
      <c r="BE35" s="24"/>
      <c r="BF35" s="25"/>
      <c r="BG35" s="24"/>
      <c r="BH35" s="24"/>
      <c r="BI35" s="25"/>
      <c r="BJ35" s="24"/>
      <c r="BK35" s="24"/>
      <c r="BL35" s="25"/>
      <c r="BM35" s="24"/>
      <c r="BN35" s="24"/>
      <c r="BO35" s="25"/>
      <c r="BP35" s="24"/>
      <c r="BQ35" s="24"/>
      <c r="BR35" s="25"/>
      <c r="BS35" s="24"/>
      <c r="BT35" s="24"/>
      <c r="BU35" s="25"/>
      <c r="BV35" s="32"/>
      <c r="BW35" s="32"/>
      <c r="BX35" s="25"/>
      <c r="BY35" s="32"/>
      <c r="BZ35" s="32"/>
      <c r="CA35" s="25"/>
      <c r="CB35" s="32"/>
      <c r="CC35" s="32"/>
      <c r="CD35" s="25"/>
      <c r="CE35" s="24"/>
      <c r="CF35" s="24"/>
      <c r="CG35" s="25"/>
      <c r="CH35" s="26"/>
      <c r="CI35" s="26"/>
      <c r="CJ35" s="25"/>
      <c r="CK35" s="32"/>
      <c r="CL35" s="32"/>
      <c r="CM35" s="25"/>
      <c r="CN35" s="32"/>
      <c r="CO35" s="32"/>
      <c r="CP35" s="25"/>
      <c r="CQ35" s="28"/>
      <c r="CR35" s="25"/>
      <c r="CS35" s="23"/>
      <c r="CT35" s="32"/>
      <c r="CU35" s="32"/>
      <c r="CV35" s="25"/>
      <c r="CW35" s="32"/>
      <c r="CX35" s="32"/>
      <c r="CY35" s="25"/>
      <c r="CZ35" s="32"/>
      <c r="DA35" s="32"/>
      <c r="DB35" s="25"/>
      <c r="DC35" s="32"/>
      <c r="DD35" s="32"/>
      <c r="DE35" s="25"/>
      <c r="DF35" s="32"/>
      <c r="DG35" s="32"/>
      <c r="DH35" s="25"/>
      <c r="DI35" s="26">
        <f>(87652*Q3)*(105.9/84.4)</f>
        <v>144074.3401421801</v>
      </c>
      <c r="DJ35" s="26" t="s">
        <v>79</v>
      </c>
      <c r="DK35" s="25"/>
      <c r="DL35" s="24"/>
      <c r="DM35" s="24"/>
      <c r="DN35" s="25"/>
      <c r="DO35" s="24"/>
      <c r="DP35" s="24"/>
      <c r="DQ35" s="25"/>
      <c r="DR35" s="24"/>
      <c r="DS35" s="24"/>
      <c r="DT35" s="25"/>
      <c r="DU35" s="26"/>
      <c r="DV35" s="26"/>
      <c r="DW35" s="25"/>
      <c r="DX35" s="24"/>
      <c r="DY35" s="24"/>
      <c r="DZ35" s="25"/>
      <c r="EA35" s="24"/>
      <c r="EB35" s="24"/>
      <c r="EC35" s="25"/>
      <c r="ED35" s="24"/>
      <c r="EE35" s="24"/>
      <c r="EF35" s="25"/>
      <c r="EG35" s="24"/>
      <c r="EH35" s="24"/>
      <c r="EI35" s="25"/>
      <c r="EJ35" s="32"/>
      <c r="EK35" s="32"/>
      <c r="EL35" s="25"/>
      <c r="EM35" s="26"/>
      <c r="EN35" s="26"/>
      <c r="EO35" s="25"/>
      <c r="EP35" s="32"/>
      <c r="EQ35" s="32"/>
      <c r="ER35" s="25"/>
      <c r="ES35" s="24"/>
      <c r="ET35" s="24"/>
      <c r="EU35" s="25"/>
      <c r="EV35" s="32"/>
      <c r="EW35" s="32"/>
      <c r="EX35" s="25"/>
      <c r="EY35" s="118"/>
      <c r="EZ35" s="25"/>
      <c r="FA35" s="25"/>
      <c r="FB35" s="24"/>
      <c r="FC35" s="24"/>
      <c r="FD35" s="25"/>
      <c r="FE35" s="24"/>
      <c r="FF35" s="24"/>
      <c r="FG35" s="25"/>
      <c r="FH35" s="32"/>
      <c r="FI35" s="32"/>
      <c r="FJ35" s="25"/>
      <c r="FK35" s="26"/>
      <c r="FL35" s="25"/>
      <c r="FM35" s="25"/>
      <c r="FN35" s="32"/>
      <c r="FO35" s="32"/>
      <c r="FP35" s="25"/>
      <c r="FQ35" s="32"/>
      <c r="FR35" s="32"/>
      <c r="FS35" s="25"/>
      <c r="FT35" s="24"/>
      <c r="FU35" s="24"/>
      <c r="FV35" s="25"/>
      <c r="FW35" s="26"/>
      <c r="FX35" s="25"/>
      <c r="FY35" s="31"/>
      <c r="FZ35" s="27"/>
      <c r="GA35" s="27"/>
      <c r="GB35" s="27"/>
      <c r="GC35" s="27"/>
    </row>
    <row r="36" spans="1:185" s="83" customFormat="1" x14ac:dyDescent="0.3">
      <c r="A36" s="4"/>
      <c r="B36" s="137"/>
      <c r="C36" s="136"/>
      <c r="D36" s="85" t="s">
        <v>194</v>
      </c>
      <c r="E36" s="42">
        <v>2</v>
      </c>
      <c r="F36" s="136"/>
      <c r="G36" s="23"/>
      <c r="H36" s="24"/>
      <c r="I36" s="24"/>
      <c r="J36" s="25"/>
      <c r="K36" s="24"/>
      <c r="L36" s="24"/>
      <c r="M36" s="25"/>
      <c r="N36" s="24"/>
      <c r="O36" s="24"/>
      <c r="P36" s="25"/>
      <c r="Q36" s="26"/>
      <c r="R36" s="26"/>
      <c r="S36" s="25"/>
      <c r="T36" s="24"/>
      <c r="U36" s="24"/>
      <c r="V36" s="25"/>
      <c r="W36" s="24"/>
      <c r="X36" s="24"/>
      <c r="Y36" s="25"/>
      <c r="Z36" s="24"/>
      <c r="AA36" s="24"/>
      <c r="AB36" s="25"/>
      <c r="AC36" s="24"/>
      <c r="AD36" s="24"/>
      <c r="AE36" s="25"/>
      <c r="AF36" s="24"/>
      <c r="AG36" s="24"/>
      <c r="AH36" s="25"/>
      <c r="AI36" s="24"/>
      <c r="AJ36" s="24"/>
      <c r="AK36" s="25"/>
      <c r="AL36" s="24"/>
      <c r="AM36" s="24"/>
      <c r="AN36" s="25"/>
      <c r="AO36" s="32"/>
      <c r="AP36" s="32"/>
      <c r="AQ36" s="25"/>
      <c r="AR36" s="24"/>
      <c r="AS36" s="24"/>
      <c r="AT36" s="25"/>
      <c r="AU36" s="24"/>
      <c r="AV36" s="24"/>
      <c r="AW36" s="25"/>
      <c r="AX36" s="24"/>
      <c r="AY36" s="24"/>
      <c r="AZ36" s="25"/>
      <c r="BA36" s="24"/>
      <c r="BB36" s="24"/>
      <c r="BC36" s="25"/>
      <c r="BD36" s="24"/>
      <c r="BE36" s="24"/>
      <c r="BF36" s="25"/>
      <c r="BG36" s="24"/>
      <c r="BH36" s="24"/>
      <c r="BI36" s="25"/>
      <c r="BJ36" s="24"/>
      <c r="BK36" s="24"/>
      <c r="BL36" s="25"/>
      <c r="BM36" s="24"/>
      <c r="BN36" s="24"/>
      <c r="BO36" s="25"/>
      <c r="BP36" s="24"/>
      <c r="BQ36" s="24"/>
      <c r="BR36" s="25"/>
      <c r="BS36" s="24"/>
      <c r="BT36" s="24"/>
      <c r="BU36" s="25"/>
      <c r="BV36" s="32"/>
      <c r="BW36" s="32"/>
      <c r="BX36" s="25"/>
      <c r="BY36" s="32"/>
      <c r="BZ36" s="32"/>
      <c r="CA36" s="25"/>
      <c r="CB36" s="32"/>
      <c r="CC36" s="32"/>
      <c r="CD36" s="25"/>
      <c r="CE36" s="24"/>
      <c r="CF36" s="24"/>
      <c r="CG36" s="25"/>
      <c r="CH36" s="26"/>
      <c r="CI36" s="26"/>
      <c r="CJ36" s="25"/>
      <c r="CK36" s="32"/>
      <c r="CL36" s="32"/>
      <c r="CM36" s="25"/>
      <c r="CN36" s="32"/>
      <c r="CO36" s="32"/>
      <c r="CP36" s="25"/>
      <c r="CQ36" s="28"/>
      <c r="CR36" s="25"/>
      <c r="CS36" s="23"/>
      <c r="CT36" s="32"/>
      <c r="CU36" s="32"/>
      <c r="CV36" s="25"/>
      <c r="CW36" s="32"/>
      <c r="CX36" s="32"/>
      <c r="CY36" s="25"/>
      <c r="CZ36" s="32"/>
      <c r="DA36" s="32"/>
      <c r="DB36" s="25"/>
      <c r="DC36" s="32"/>
      <c r="DD36" s="32"/>
      <c r="DE36" s="25"/>
      <c r="DF36" s="32"/>
      <c r="DG36" s="32"/>
      <c r="DH36" s="25"/>
      <c r="DI36" s="26">
        <f>(88937*Q3)*(105.9/84.4)</f>
        <v>146186.5056042654</v>
      </c>
      <c r="DJ36" s="26" t="s">
        <v>79</v>
      </c>
      <c r="DK36" s="25"/>
      <c r="DL36" s="24"/>
      <c r="DM36" s="24"/>
      <c r="DN36" s="25"/>
      <c r="DO36" s="24"/>
      <c r="DP36" s="24"/>
      <c r="DQ36" s="25"/>
      <c r="DR36" s="24"/>
      <c r="DS36" s="24"/>
      <c r="DT36" s="25"/>
      <c r="DU36" s="26"/>
      <c r="DV36" s="26"/>
      <c r="DW36" s="25"/>
      <c r="DX36" s="24"/>
      <c r="DY36" s="24"/>
      <c r="DZ36" s="25"/>
      <c r="EA36" s="24"/>
      <c r="EB36" s="24"/>
      <c r="EC36" s="25"/>
      <c r="ED36" s="24"/>
      <c r="EE36" s="24"/>
      <c r="EF36" s="25"/>
      <c r="EG36" s="24"/>
      <c r="EH36" s="24"/>
      <c r="EI36" s="25"/>
      <c r="EJ36" s="32"/>
      <c r="EK36" s="32"/>
      <c r="EL36" s="25"/>
      <c r="EM36" s="26"/>
      <c r="EN36" s="26"/>
      <c r="EO36" s="25"/>
      <c r="EP36" s="32"/>
      <c r="EQ36" s="32"/>
      <c r="ER36" s="25"/>
      <c r="ES36" s="24"/>
      <c r="ET36" s="24"/>
      <c r="EU36" s="25"/>
      <c r="EV36" s="32"/>
      <c r="EW36" s="32"/>
      <c r="EX36" s="25"/>
      <c r="EY36" s="118"/>
      <c r="EZ36" s="25"/>
      <c r="FA36" s="25"/>
      <c r="FB36" s="24"/>
      <c r="FC36" s="24"/>
      <c r="FD36" s="25"/>
      <c r="FE36" s="24"/>
      <c r="FF36" s="24"/>
      <c r="FG36" s="25"/>
      <c r="FH36" s="32"/>
      <c r="FI36" s="32"/>
      <c r="FJ36" s="25"/>
      <c r="FK36" s="26"/>
      <c r="FL36" s="25"/>
      <c r="FM36" s="25"/>
      <c r="FN36" s="32"/>
      <c r="FO36" s="32"/>
      <c r="FP36" s="25"/>
      <c r="FQ36" s="32"/>
      <c r="FR36" s="32"/>
      <c r="FS36" s="25"/>
      <c r="FT36" s="24"/>
      <c r="FU36" s="24"/>
      <c r="FV36" s="25"/>
      <c r="FW36" s="26"/>
      <c r="FX36" s="25"/>
      <c r="FY36" s="31"/>
      <c r="FZ36" s="27"/>
      <c r="GA36" s="27"/>
      <c r="GB36" s="27"/>
      <c r="GC36" s="27"/>
    </row>
    <row r="37" spans="1:185" s="83" customFormat="1" x14ac:dyDescent="0.3">
      <c r="A37" s="4"/>
      <c r="B37" s="137"/>
      <c r="C37" s="136"/>
      <c r="D37" s="85" t="s">
        <v>195</v>
      </c>
      <c r="E37" s="42">
        <v>2</v>
      </c>
      <c r="F37" s="136"/>
      <c r="G37" s="23"/>
      <c r="H37" s="24"/>
      <c r="I37" s="24"/>
      <c r="J37" s="25"/>
      <c r="K37" s="24"/>
      <c r="L37" s="24"/>
      <c r="M37" s="25"/>
      <c r="N37" s="24"/>
      <c r="O37" s="24"/>
      <c r="P37" s="25"/>
      <c r="Q37" s="26"/>
      <c r="R37" s="26"/>
      <c r="S37" s="25"/>
      <c r="T37" s="24"/>
      <c r="U37" s="24"/>
      <c r="V37" s="25"/>
      <c r="W37" s="24"/>
      <c r="X37" s="24"/>
      <c r="Y37" s="25"/>
      <c r="Z37" s="24"/>
      <c r="AA37" s="24"/>
      <c r="AB37" s="25"/>
      <c r="AC37" s="24"/>
      <c r="AD37" s="24"/>
      <c r="AE37" s="25"/>
      <c r="AF37" s="24"/>
      <c r="AG37" s="24"/>
      <c r="AH37" s="25"/>
      <c r="AI37" s="24"/>
      <c r="AJ37" s="24"/>
      <c r="AK37" s="25"/>
      <c r="AL37" s="24"/>
      <c r="AM37" s="24"/>
      <c r="AN37" s="25"/>
      <c r="AO37" s="32"/>
      <c r="AP37" s="32"/>
      <c r="AQ37" s="25"/>
      <c r="AR37" s="24"/>
      <c r="AS37" s="24"/>
      <c r="AT37" s="25"/>
      <c r="AU37" s="24"/>
      <c r="AV37" s="24"/>
      <c r="AW37" s="25"/>
      <c r="AX37" s="24"/>
      <c r="AY37" s="24"/>
      <c r="AZ37" s="25"/>
      <c r="BA37" s="24"/>
      <c r="BB37" s="24"/>
      <c r="BC37" s="25"/>
      <c r="BD37" s="24"/>
      <c r="BE37" s="24"/>
      <c r="BF37" s="25"/>
      <c r="BG37" s="24"/>
      <c r="BH37" s="24"/>
      <c r="BI37" s="25"/>
      <c r="BJ37" s="24"/>
      <c r="BK37" s="24"/>
      <c r="BL37" s="25"/>
      <c r="BM37" s="24"/>
      <c r="BN37" s="24"/>
      <c r="BO37" s="25"/>
      <c r="BP37" s="24"/>
      <c r="BQ37" s="24"/>
      <c r="BR37" s="25"/>
      <c r="BS37" s="24"/>
      <c r="BT37" s="24"/>
      <c r="BU37" s="25"/>
      <c r="BV37" s="32"/>
      <c r="BW37" s="32"/>
      <c r="BX37" s="25"/>
      <c r="BY37" s="32"/>
      <c r="BZ37" s="32"/>
      <c r="CA37" s="25"/>
      <c r="CB37" s="32"/>
      <c r="CC37" s="32"/>
      <c r="CD37" s="25"/>
      <c r="CE37" s="24"/>
      <c r="CF37" s="24"/>
      <c r="CG37" s="25"/>
      <c r="CH37" s="26"/>
      <c r="CI37" s="26"/>
      <c r="CJ37" s="25"/>
      <c r="CK37" s="32"/>
      <c r="CL37" s="32"/>
      <c r="CM37" s="25"/>
      <c r="CN37" s="32"/>
      <c r="CO37" s="32"/>
      <c r="CP37" s="25"/>
      <c r="CQ37" s="28"/>
      <c r="CR37" s="25"/>
      <c r="CS37" s="23"/>
      <c r="CT37" s="32"/>
      <c r="CU37" s="32"/>
      <c r="CV37" s="25"/>
      <c r="CW37" s="32"/>
      <c r="CX37" s="32"/>
      <c r="CY37" s="25"/>
      <c r="CZ37" s="32"/>
      <c r="DA37" s="32"/>
      <c r="DB37" s="25"/>
      <c r="DC37" s="32"/>
      <c r="DD37" s="32"/>
      <c r="DE37" s="25"/>
      <c r="DF37" s="32"/>
      <c r="DG37" s="32"/>
      <c r="DH37" s="25"/>
      <c r="DI37" s="26">
        <f>(97863*Q3)*(105.9/84.4)</f>
        <v>160858.24795023695</v>
      </c>
      <c r="DJ37" s="26" t="s">
        <v>79</v>
      </c>
      <c r="DK37" s="25"/>
      <c r="DL37" s="24"/>
      <c r="DM37" s="24"/>
      <c r="DN37" s="25"/>
      <c r="DO37" s="24"/>
      <c r="DP37" s="24"/>
      <c r="DQ37" s="25"/>
      <c r="DR37" s="24"/>
      <c r="DS37" s="24"/>
      <c r="DT37" s="25"/>
      <c r="DU37" s="26"/>
      <c r="DV37" s="26"/>
      <c r="DW37" s="25"/>
      <c r="DX37" s="24"/>
      <c r="DY37" s="24"/>
      <c r="DZ37" s="25"/>
      <c r="EA37" s="24"/>
      <c r="EB37" s="24"/>
      <c r="EC37" s="25"/>
      <c r="ED37" s="24"/>
      <c r="EE37" s="24"/>
      <c r="EF37" s="25"/>
      <c r="EG37" s="24"/>
      <c r="EH37" s="24"/>
      <c r="EI37" s="25"/>
      <c r="EJ37" s="32"/>
      <c r="EK37" s="32"/>
      <c r="EL37" s="25"/>
      <c r="EM37" s="26"/>
      <c r="EN37" s="26"/>
      <c r="EO37" s="25"/>
      <c r="EP37" s="32"/>
      <c r="EQ37" s="32"/>
      <c r="ER37" s="25"/>
      <c r="ES37" s="24"/>
      <c r="ET37" s="24"/>
      <c r="EU37" s="25"/>
      <c r="EV37" s="32"/>
      <c r="EW37" s="32"/>
      <c r="EX37" s="25"/>
      <c r="EY37" s="118"/>
      <c r="EZ37" s="25"/>
      <c r="FA37" s="25"/>
      <c r="FB37" s="24"/>
      <c r="FC37" s="24"/>
      <c r="FD37" s="25"/>
      <c r="FE37" s="24"/>
      <c r="FF37" s="24"/>
      <c r="FG37" s="25"/>
      <c r="FH37" s="32"/>
      <c r="FI37" s="32"/>
      <c r="FJ37" s="25"/>
      <c r="FK37" s="26"/>
      <c r="FL37" s="25"/>
      <c r="FM37" s="25"/>
      <c r="FN37" s="32"/>
      <c r="FO37" s="32"/>
      <c r="FP37" s="25"/>
      <c r="FQ37" s="32"/>
      <c r="FR37" s="32"/>
      <c r="FS37" s="25"/>
      <c r="FT37" s="24"/>
      <c r="FU37" s="24"/>
      <c r="FV37" s="25"/>
      <c r="FW37" s="26"/>
      <c r="FX37" s="25"/>
      <c r="FY37" s="31"/>
      <c r="FZ37" s="27"/>
      <c r="GA37" s="27"/>
      <c r="GB37" s="27"/>
      <c r="GC37" s="27"/>
    </row>
    <row r="38" spans="1:185" s="83" customFormat="1" x14ac:dyDescent="0.3">
      <c r="A38" s="4"/>
      <c r="B38" s="23"/>
      <c r="C38" s="23"/>
      <c r="D38" s="23"/>
      <c r="E38" s="43"/>
      <c r="F38" s="23"/>
      <c r="G38" s="23"/>
      <c r="H38" s="31"/>
      <c r="I38" s="31"/>
      <c r="J38" s="25"/>
      <c r="K38" s="31"/>
      <c r="L38" s="31"/>
      <c r="M38" s="25"/>
      <c r="N38" s="31"/>
      <c r="O38" s="31"/>
      <c r="P38" s="25"/>
      <c r="Q38" s="31"/>
      <c r="R38" s="31"/>
      <c r="S38" s="25"/>
      <c r="T38" s="31"/>
      <c r="U38" s="31"/>
      <c r="V38" s="25"/>
      <c r="W38" s="31"/>
      <c r="X38" s="31"/>
      <c r="Y38" s="25"/>
      <c r="Z38" s="31"/>
      <c r="AA38" s="31"/>
      <c r="AB38" s="25"/>
      <c r="AC38" s="31"/>
      <c r="AD38" s="31"/>
      <c r="AE38" s="25"/>
      <c r="AF38" s="31"/>
      <c r="AG38" s="31"/>
      <c r="AH38" s="25"/>
      <c r="AI38" s="31"/>
      <c r="AJ38" s="31"/>
      <c r="AK38" s="25"/>
      <c r="AL38" s="31"/>
      <c r="AM38" s="31"/>
      <c r="AN38" s="25"/>
      <c r="AO38" s="31"/>
      <c r="AP38" s="31"/>
      <c r="AQ38" s="25"/>
      <c r="AR38" s="31"/>
      <c r="AS38" s="31"/>
      <c r="AT38" s="25"/>
      <c r="AU38" s="31"/>
      <c r="AV38" s="31"/>
      <c r="AW38" s="25"/>
      <c r="AX38" s="31"/>
      <c r="AY38" s="31"/>
      <c r="AZ38" s="25"/>
      <c r="BA38" s="31"/>
      <c r="BB38" s="31"/>
      <c r="BC38" s="25"/>
      <c r="BD38" s="31"/>
      <c r="BE38" s="31"/>
      <c r="BF38" s="25"/>
      <c r="BG38" s="31"/>
      <c r="BH38" s="31"/>
      <c r="BI38" s="25"/>
      <c r="BJ38" s="31"/>
      <c r="BK38" s="31"/>
      <c r="BL38" s="25"/>
      <c r="BM38" s="31"/>
      <c r="BN38" s="31"/>
      <c r="BO38" s="25"/>
      <c r="BP38" s="31"/>
      <c r="BQ38" s="31"/>
      <c r="BR38" s="25"/>
      <c r="BS38" s="31"/>
      <c r="BT38" s="31"/>
      <c r="BU38" s="25"/>
      <c r="BV38" s="31"/>
      <c r="BW38" s="31"/>
      <c r="BX38" s="25"/>
      <c r="BY38" s="31"/>
      <c r="BZ38" s="31"/>
      <c r="CA38" s="25"/>
      <c r="CB38" s="31"/>
      <c r="CC38" s="31"/>
      <c r="CD38" s="25"/>
      <c r="CE38" s="31"/>
      <c r="CF38" s="31"/>
      <c r="CG38" s="25"/>
      <c r="CH38" s="31"/>
      <c r="CI38" s="31"/>
      <c r="CJ38" s="25"/>
      <c r="CK38" s="31"/>
      <c r="CL38" s="31"/>
      <c r="CM38" s="25"/>
      <c r="CN38" s="31"/>
      <c r="CO38" s="31"/>
      <c r="CP38" s="25"/>
      <c r="CQ38" s="31"/>
      <c r="CR38" s="25"/>
      <c r="CS38" s="23"/>
      <c r="CT38" s="23"/>
      <c r="CU38" s="23"/>
      <c r="CV38" s="27"/>
      <c r="CW38" s="23"/>
      <c r="CX38" s="23"/>
      <c r="CY38" s="27"/>
      <c r="CZ38" s="23"/>
      <c r="DA38" s="23"/>
      <c r="DB38" s="27"/>
      <c r="DC38" s="23"/>
      <c r="DD38" s="23"/>
      <c r="DE38" s="27"/>
      <c r="DF38" s="23"/>
      <c r="DG38" s="23"/>
      <c r="DH38" s="27"/>
      <c r="DI38" s="23"/>
      <c r="DJ38" s="23"/>
      <c r="DK38" s="27"/>
      <c r="DL38" s="23"/>
      <c r="DM38" s="23"/>
      <c r="DN38" s="27"/>
      <c r="DO38" s="23"/>
      <c r="DP38" s="23"/>
      <c r="DQ38" s="27"/>
      <c r="DR38" s="23"/>
      <c r="DS38" s="23"/>
      <c r="DT38" s="27"/>
      <c r="DU38" s="23"/>
      <c r="DV38" s="23"/>
      <c r="DW38" s="27"/>
      <c r="DX38" s="23"/>
      <c r="DY38" s="23"/>
      <c r="DZ38" s="27"/>
      <c r="EA38" s="23"/>
      <c r="EB38" s="23"/>
      <c r="EC38" s="27"/>
      <c r="ED38" s="23"/>
      <c r="EE38" s="23"/>
      <c r="EF38" s="27"/>
      <c r="EG38" s="23"/>
      <c r="EH38" s="23"/>
      <c r="EI38" s="27"/>
      <c r="EJ38" s="23"/>
      <c r="EK38" s="23"/>
      <c r="EL38" s="27"/>
      <c r="EM38" s="23"/>
      <c r="EN38" s="23"/>
      <c r="EO38" s="27"/>
      <c r="EP38" s="23"/>
      <c r="EQ38" s="23"/>
      <c r="ER38" s="27"/>
      <c r="ES38" s="23"/>
      <c r="ET38" s="23"/>
      <c r="EU38" s="27"/>
      <c r="EV38" s="23"/>
      <c r="EW38" s="23"/>
      <c r="EX38" s="27"/>
      <c r="EY38" s="23"/>
      <c r="EZ38" s="27"/>
      <c r="FA38" s="27"/>
      <c r="FB38" s="23"/>
      <c r="FC38" s="23"/>
      <c r="FD38" s="27"/>
      <c r="FE38" s="23"/>
      <c r="FF38" s="23"/>
      <c r="FG38" s="27"/>
      <c r="FH38" s="23"/>
      <c r="FI38" s="23"/>
      <c r="FJ38" s="27"/>
      <c r="FK38" s="23"/>
      <c r="FL38" s="27"/>
      <c r="FM38" s="27"/>
      <c r="FN38" s="23"/>
      <c r="FO38" s="23"/>
      <c r="FP38" s="27"/>
      <c r="FQ38" s="23"/>
      <c r="FR38" s="23"/>
      <c r="FS38" s="27"/>
      <c r="FT38" s="23"/>
      <c r="FU38" s="23"/>
      <c r="FV38" s="27"/>
      <c r="FW38" s="23"/>
      <c r="FX38" s="27"/>
      <c r="FY38" s="23"/>
      <c r="FZ38" s="27"/>
      <c r="GA38" s="27"/>
      <c r="GB38" s="27"/>
      <c r="GC38" s="27"/>
    </row>
    <row r="39" spans="1:185" s="83" customFormat="1" ht="42" x14ac:dyDescent="0.3">
      <c r="A39" s="4"/>
      <c r="B39" s="98" t="s">
        <v>87</v>
      </c>
      <c r="C39" s="102" t="s">
        <v>219</v>
      </c>
      <c r="D39" s="11" t="s">
        <v>88</v>
      </c>
      <c r="E39" s="44">
        <v>4</v>
      </c>
      <c r="F39" s="14">
        <v>2006</v>
      </c>
      <c r="G39" s="23"/>
      <c r="H39" s="24">
        <f>((5.2*52)*Q3)*(105.9/84.4)</f>
        <v>444.45878672985788</v>
      </c>
      <c r="I39" s="24">
        <f>((12.2*SQRT(52))*Q3)*(105.9/84.4)</f>
        <v>144.60599950959462</v>
      </c>
      <c r="J39" s="25"/>
      <c r="K39" s="24">
        <f>((20.9*52)*Q3)*(105.9/84.4)</f>
        <v>1786.382431279621</v>
      </c>
      <c r="L39" s="24">
        <f>((92.4*SQRT(52))*Q3)*(105.9/84.44)</f>
        <v>1094.6938397771476</v>
      </c>
      <c r="M39" s="25"/>
      <c r="N39" s="24">
        <f>((0.9*52)*Q3)*(105.9/84.4)</f>
        <v>76.925559241706168</v>
      </c>
      <c r="O39" s="24">
        <f>((5.3*SQRT(52))*Q3)*(105.9/84.4)</f>
        <v>62.820639131217334</v>
      </c>
      <c r="P39" s="25"/>
      <c r="Q39" s="26">
        <f>((27.1*52)*Q3)*(105.9/84.4)</f>
        <v>2316.3140616113747</v>
      </c>
      <c r="R39" s="26">
        <f>((94.3*SQRT(52))*Q3)*(105.9/84.4)</f>
        <v>1117.7332585044896</v>
      </c>
      <c r="S39" s="25"/>
      <c r="T39" s="24">
        <f>((2.4*52)*Q3)*(105.9/84.4)</f>
        <v>205.13482464454975</v>
      </c>
      <c r="U39" s="24">
        <f>((3.7*SQRT(52))*Q3)*(105.9/84.4)</f>
        <v>43.855917884057391</v>
      </c>
      <c r="V39" s="25"/>
      <c r="W39" s="24">
        <f>((1.7*52)*Q3)*(105.9/84.4)</f>
        <v>145.30383412322271</v>
      </c>
      <c r="X39" s="24">
        <f>((6*SQRT(52))*Q3)*(105.9/84.4)</f>
        <v>71.117704676849826</v>
      </c>
      <c r="Y39" s="25"/>
      <c r="Z39" s="24">
        <f>((0.2*52)*Q3)*(105.9/84.4)</f>
        <v>17.094568720379147</v>
      </c>
      <c r="AA39" s="24">
        <f>((1.3*SQRT(52))*Q3)*(105.9/84.4)</f>
        <v>15.408836013317464</v>
      </c>
      <c r="AB39" s="25"/>
      <c r="AC39" s="24">
        <f>((0.8*52)*Q3)*(105.9/84.4)</f>
        <v>68.378274881516589</v>
      </c>
      <c r="AD39" s="24">
        <f>((3.9*SQRT(52))*Q3)*(105.9/84.4)</f>
        <v>46.226508039952385</v>
      </c>
      <c r="AE39" s="25"/>
      <c r="AF39" s="24"/>
      <c r="AG39" s="24"/>
      <c r="AH39" s="25"/>
      <c r="AI39" s="24">
        <f>((1.5*52)*Q3)*(105.9/84.4)</f>
        <v>128.20926540284361</v>
      </c>
      <c r="AJ39" s="24">
        <f>((1.5*SQRT(52))*Q3)*(105.9/84.4)</f>
        <v>17.779426169212456</v>
      </c>
      <c r="AK39" s="25"/>
      <c r="AL39" s="24">
        <f>((0.2*52)*Q3)*(105.9/84.4)</f>
        <v>17.094568720379147</v>
      </c>
      <c r="AM39" s="24">
        <f>((1.6*SQRT(52))*Q3)*(105.9/84.4)</f>
        <v>18.964721247159957</v>
      </c>
      <c r="AN39" s="25"/>
      <c r="AO39" s="32">
        <f>((0.5*52)*Q3)*(105.9/84.4)</f>
        <v>42.736421800947866</v>
      </c>
      <c r="AP39" s="32">
        <f>((2.9*SQRT(52))*Q3)*(105.9/84.4)</f>
        <v>34.373557260477412</v>
      </c>
      <c r="AQ39" s="25"/>
      <c r="AR39" s="24">
        <f>((1.1*52)*Q3)*(105.9/84.4)</f>
        <v>94.020127962085311</v>
      </c>
      <c r="AS39" s="24">
        <f>((1.23*SQRT(52))*Q3)*(105.9/84.4)</f>
        <v>14.579129458754215</v>
      </c>
      <c r="AT39" s="25"/>
      <c r="AU39" s="24">
        <f>((1*52)*Q3)*(105.9/84.4)</f>
        <v>85.472843601895732</v>
      </c>
      <c r="AV39" s="24">
        <f>((7.7*SQRT(52))*Q3)*(105.9/84.4)</f>
        <v>91.26772100195727</v>
      </c>
      <c r="AW39" s="25"/>
      <c r="AX39" s="24">
        <f>((2.4*52)*Q3)*(105.9/84.4)</f>
        <v>205.13482464454975</v>
      </c>
      <c r="AY39" s="24">
        <f>((9.3*SQRT(52))*Q3)*(105.9/84.4)</f>
        <v>110.23244224911721</v>
      </c>
      <c r="AZ39" s="25"/>
      <c r="BA39" s="24">
        <f>((1.4*52)*Q3)*(105.9/84.4)</f>
        <v>119.66198104265402</v>
      </c>
      <c r="BB39" s="24">
        <f>((6.6*SQRT(52))*Q3)*(105.9/84.4)</f>
        <v>78.229475144534803</v>
      </c>
      <c r="BC39" s="25"/>
      <c r="BD39" s="24">
        <f>((0.8*52)*Q3)*(105.9/84.4)</f>
        <v>68.378274881516589</v>
      </c>
      <c r="BE39" s="24">
        <f>((2.3*SQRT(52))*Q3)*(105.9/84.4)</f>
        <v>27.261786792792432</v>
      </c>
      <c r="BF39" s="25"/>
      <c r="BG39" s="24">
        <f>((1*52)*Q3)*(105.9/84.4)</f>
        <v>85.472843601895732</v>
      </c>
      <c r="BH39" s="24">
        <f>((4.6*SQRT(52))*Q3)*(105.9/84.4)</f>
        <v>54.523573585584863</v>
      </c>
      <c r="BI39" s="25"/>
      <c r="BJ39" s="24">
        <f>((2.5*52)*Q3)*(105.9/84.4)</f>
        <v>213.68210900473935</v>
      </c>
      <c r="BK39" s="24">
        <f>((4.9*SQRT(52))*Q3)*(105.9/84.4)</f>
        <v>58.079458819427359</v>
      </c>
      <c r="BL39" s="25"/>
      <c r="BM39" s="24"/>
      <c r="BN39" s="24"/>
      <c r="BO39" s="25"/>
      <c r="BP39" s="24">
        <f>((0.5*52)*Q3)*(105.9/84.4)</f>
        <v>42.736421800947866</v>
      </c>
      <c r="BQ39" s="24">
        <f>((3.4*SQRT(52))*Q3)*(105.9/84.4)</f>
        <v>40.300032650214902</v>
      </c>
      <c r="BR39" s="25"/>
      <c r="BS39" s="24">
        <f>((1.8*52)*Q3)*(105.9/84.4)</f>
        <v>153.85111848341234</v>
      </c>
      <c r="BT39" s="24">
        <f>((7.7*SQRT(52))*Q3)*(105.9/84.4)</f>
        <v>91.26772100195727</v>
      </c>
      <c r="BU39" s="25"/>
      <c r="BV39" s="32">
        <f>((1.7*52)*Q3)*(105.9/84.4)</f>
        <v>145.30383412322271</v>
      </c>
      <c r="BW39" s="32">
        <f>((7.4*SQRT(52))*Q3)*(105.9/84.44)</f>
        <v>87.670285869598402</v>
      </c>
      <c r="BX39" s="25"/>
      <c r="BY39" s="32">
        <f>((2.6*52)*Q3)*(105.9/84.44)</f>
        <v>222.12412126954055</v>
      </c>
      <c r="BZ39" s="32">
        <f>((21.1*SQRT(52))*Q3)*(105.9/84.44)</f>
        <v>249.97878808763866</v>
      </c>
      <c r="CA39" s="25"/>
      <c r="CB39" s="32">
        <f>((4.1*52)*Q3)*(105.9/84.4)</f>
        <v>350.43865876777244</v>
      </c>
      <c r="CC39" s="32">
        <f>((29.8*SQRT(52))*Q3)*(105.9/84.44)</f>
        <v>353.05061066405841</v>
      </c>
      <c r="CD39" s="25"/>
      <c r="CE39" s="24"/>
      <c r="CF39" s="24"/>
      <c r="CG39" s="25"/>
      <c r="CH39" s="26">
        <f>((28.1*52)*Q3)*(105.9/84.4)</f>
        <v>2401.7869052132701</v>
      </c>
      <c r="CI39" s="26">
        <f>((45.9*SQRT(52))*Q3)*(105.9/84.4)</f>
        <v>544.05044077790114</v>
      </c>
      <c r="CJ39" s="25"/>
      <c r="CK39" s="32">
        <f>((0.7*52)*Q3)*(105.9/84.4)</f>
        <v>59.83099052132701</v>
      </c>
      <c r="CL39" s="32">
        <f>((0.93*SQRT(52))*Q3)*(105.9/84.4)</f>
        <v>11.023244224911723</v>
      </c>
      <c r="CM39" s="25"/>
      <c r="CN39" s="32"/>
      <c r="CO39" s="32"/>
      <c r="CP39" s="25"/>
      <c r="CQ39" s="28"/>
      <c r="CR39" s="25"/>
      <c r="CS39" s="23"/>
      <c r="CT39" s="30"/>
      <c r="CU39" s="30"/>
      <c r="CV39" s="27"/>
      <c r="CW39" s="30"/>
      <c r="CX39" s="30"/>
      <c r="CY39" s="27"/>
      <c r="CZ39" s="30"/>
      <c r="DA39" s="30"/>
      <c r="DB39" s="27"/>
      <c r="DC39" s="32">
        <f>((5.9*52)*Q3)*(105.9/84.4)</f>
        <v>504.28977725118483</v>
      </c>
      <c r="DD39" s="32">
        <f>((41.3*SQRT(52))*Q3)*(105.9/84.44)</f>
        <v>489.29497383978565</v>
      </c>
      <c r="DE39" s="27"/>
      <c r="DF39" s="114"/>
      <c r="DG39" s="114"/>
      <c r="DH39" s="27"/>
      <c r="DI39" s="28"/>
      <c r="DJ39" s="28"/>
      <c r="DK39" s="27"/>
      <c r="DL39" s="14"/>
      <c r="DM39" s="14"/>
      <c r="DN39" s="27"/>
      <c r="DO39" s="14"/>
      <c r="DP39" s="14"/>
      <c r="DQ39" s="27"/>
      <c r="DR39" s="14"/>
      <c r="DS39" s="14"/>
      <c r="DT39" s="27"/>
      <c r="DU39" s="28"/>
      <c r="DV39" s="28"/>
      <c r="DW39" s="27"/>
      <c r="DX39" s="24">
        <f>((125.6*52)*Q3)*(105.9/84.4)</f>
        <v>10735.389156398103</v>
      </c>
      <c r="DY39" s="24">
        <f>((156.2*SQRT(52))*Q3)*(105.9/84.4)</f>
        <v>1851.4309117539904</v>
      </c>
      <c r="DZ39" s="25"/>
      <c r="EA39" s="24">
        <f>((3.3*52)*Q3)*(105.9/84.4)</f>
        <v>282.06038388625592</v>
      </c>
      <c r="EB39" s="24">
        <f>((21.7*SQRT(52))*Q3)*(105.9/84.4)</f>
        <v>257.20903191460684</v>
      </c>
      <c r="EC39" s="25"/>
      <c r="ED39" s="24"/>
      <c r="EE39" s="24"/>
      <c r="EF39" s="25"/>
      <c r="EG39" s="24"/>
      <c r="EH39" s="24"/>
      <c r="EI39" s="25"/>
      <c r="EJ39" s="32"/>
      <c r="EK39" s="32"/>
      <c r="EL39" s="25"/>
      <c r="EM39" s="26">
        <f>((134.8*52)*Q3)*(105.9/84.4)</f>
        <v>11521.739317535546</v>
      </c>
      <c r="EN39" s="26">
        <f>((168.2*SQRT(52))*Q3)*(105.9/84.4)</f>
        <v>1993.6663211076896</v>
      </c>
      <c r="EO39" s="25"/>
      <c r="EP39" s="24"/>
      <c r="EQ39" s="24"/>
      <c r="ER39" s="25"/>
      <c r="ES39" s="24"/>
      <c r="ET39" s="24"/>
      <c r="EU39" s="25"/>
      <c r="EV39" s="24"/>
      <c r="EW39" s="24"/>
      <c r="EX39" s="25"/>
      <c r="EY39" s="118"/>
      <c r="EZ39" s="25"/>
      <c r="FA39" s="25"/>
      <c r="FB39" s="32">
        <f>((3.4*52)*Q3)*(27040/20800)</f>
        <v>301.09039999999999</v>
      </c>
      <c r="FC39" s="32">
        <f>((23.1*SQRT(52))*Q3)*(27040/20800)</f>
        <v>283.67972658172107</v>
      </c>
      <c r="FD39" s="25"/>
      <c r="FE39" s="32">
        <f>((13.6*52)*Q3)*(27040/20800)</f>
        <v>1204.3616</v>
      </c>
      <c r="FF39" s="32">
        <f>((45.7*SQRT(52))*Q3)*(27040/20800)</f>
        <v>561.219199341327</v>
      </c>
      <c r="FG39" s="25"/>
      <c r="FH39" s="24"/>
      <c r="FI39" s="24"/>
      <c r="FJ39" s="25"/>
      <c r="FK39" s="26"/>
      <c r="FL39" s="25"/>
      <c r="FM39" s="25"/>
      <c r="FN39" s="24"/>
      <c r="FO39" s="24"/>
      <c r="FP39" s="25"/>
      <c r="FQ39" s="24"/>
      <c r="FR39" s="24"/>
      <c r="FS39" s="25"/>
      <c r="FT39" s="24"/>
      <c r="FU39" s="24"/>
      <c r="FV39" s="25"/>
      <c r="FW39" s="26"/>
      <c r="FX39" s="25"/>
      <c r="FY39" s="23"/>
      <c r="FZ39" s="27"/>
      <c r="GA39" s="25"/>
      <c r="GB39" s="25"/>
      <c r="GC39" s="27"/>
    </row>
    <row r="40" spans="1:185" s="83" customFormat="1" x14ac:dyDescent="0.3">
      <c r="A40" s="4"/>
      <c r="B40" s="23"/>
      <c r="C40" s="23"/>
      <c r="D40" s="23"/>
      <c r="E40" s="43"/>
      <c r="F40" s="36"/>
      <c r="G40" s="23"/>
      <c r="H40" s="31"/>
      <c r="I40" s="31"/>
      <c r="J40" s="25"/>
      <c r="K40" s="31"/>
      <c r="L40" s="31"/>
      <c r="M40" s="25"/>
      <c r="N40" s="31"/>
      <c r="O40" s="31"/>
      <c r="P40" s="25"/>
      <c r="Q40" s="31"/>
      <c r="R40" s="31"/>
      <c r="S40" s="25"/>
      <c r="T40" s="31"/>
      <c r="U40" s="31"/>
      <c r="V40" s="25"/>
      <c r="W40" s="31"/>
      <c r="X40" s="31"/>
      <c r="Y40" s="25"/>
      <c r="Z40" s="31"/>
      <c r="AA40" s="31"/>
      <c r="AB40" s="25"/>
      <c r="AC40" s="31"/>
      <c r="AD40" s="31"/>
      <c r="AE40" s="25"/>
      <c r="AF40" s="31"/>
      <c r="AG40" s="31"/>
      <c r="AH40" s="25"/>
      <c r="AI40" s="31"/>
      <c r="AJ40" s="31"/>
      <c r="AK40" s="25"/>
      <c r="AL40" s="31"/>
      <c r="AM40" s="31"/>
      <c r="AN40" s="25"/>
      <c r="AO40" s="31"/>
      <c r="AP40" s="31"/>
      <c r="AQ40" s="25"/>
      <c r="AR40" s="31"/>
      <c r="AS40" s="31"/>
      <c r="AT40" s="25"/>
      <c r="AU40" s="31"/>
      <c r="AV40" s="31"/>
      <c r="AW40" s="25"/>
      <c r="AX40" s="31"/>
      <c r="AY40" s="31"/>
      <c r="AZ40" s="25"/>
      <c r="BA40" s="31"/>
      <c r="BB40" s="31"/>
      <c r="BC40" s="25"/>
      <c r="BD40" s="31"/>
      <c r="BE40" s="31"/>
      <c r="BF40" s="25"/>
      <c r="BG40" s="31"/>
      <c r="BH40" s="31"/>
      <c r="BI40" s="25"/>
      <c r="BJ40" s="31"/>
      <c r="BK40" s="31"/>
      <c r="BL40" s="25"/>
      <c r="BM40" s="31"/>
      <c r="BN40" s="31"/>
      <c r="BO40" s="25"/>
      <c r="BP40" s="31"/>
      <c r="BQ40" s="31"/>
      <c r="BR40" s="27"/>
      <c r="BS40" s="31"/>
      <c r="BT40" s="31"/>
      <c r="BU40" s="25"/>
      <c r="BV40" s="31"/>
      <c r="BW40" s="31"/>
      <c r="BX40" s="25"/>
      <c r="BY40" s="31"/>
      <c r="BZ40" s="31"/>
      <c r="CA40" s="25"/>
      <c r="CB40" s="31"/>
      <c r="CC40" s="31"/>
      <c r="CD40" s="27"/>
      <c r="CE40" s="31"/>
      <c r="CF40" s="31"/>
      <c r="CG40" s="27"/>
      <c r="CH40" s="31"/>
      <c r="CI40" s="31"/>
      <c r="CJ40" s="27"/>
      <c r="CK40" s="31"/>
      <c r="CL40" s="31"/>
      <c r="CM40" s="25"/>
      <c r="CN40" s="31"/>
      <c r="CO40" s="31"/>
      <c r="CP40" s="25"/>
      <c r="CQ40" s="31"/>
      <c r="CR40" s="25"/>
      <c r="CS40" s="23"/>
      <c r="CT40" s="23"/>
      <c r="CU40" s="23"/>
      <c r="CV40" s="27"/>
      <c r="CW40" s="23"/>
      <c r="CX40" s="23"/>
      <c r="CY40" s="27"/>
      <c r="CZ40" s="23"/>
      <c r="DA40" s="23"/>
      <c r="DB40" s="27"/>
      <c r="DC40" s="23"/>
      <c r="DD40" s="23"/>
      <c r="DE40" s="27"/>
      <c r="DF40" s="23"/>
      <c r="DG40" s="23"/>
      <c r="DH40" s="27"/>
      <c r="DI40" s="23"/>
      <c r="DJ40" s="23"/>
      <c r="DK40" s="27"/>
      <c r="DL40" s="23"/>
      <c r="DM40" s="23"/>
      <c r="DN40" s="27"/>
      <c r="DO40" s="23"/>
      <c r="DP40" s="23"/>
      <c r="DQ40" s="27"/>
      <c r="DR40" s="23"/>
      <c r="DS40" s="23"/>
      <c r="DT40" s="27"/>
      <c r="DU40" s="23"/>
      <c r="DV40" s="23"/>
      <c r="DW40" s="27"/>
      <c r="DX40" s="23"/>
      <c r="DY40" s="23"/>
      <c r="DZ40" s="27"/>
      <c r="EA40" s="23"/>
      <c r="EB40" s="23"/>
      <c r="EC40" s="27"/>
      <c r="ED40" s="23"/>
      <c r="EE40" s="23"/>
      <c r="EF40" s="27"/>
      <c r="EG40" s="23"/>
      <c r="EH40" s="23"/>
      <c r="EI40" s="27"/>
      <c r="EJ40" s="23"/>
      <c r="EK40" s="23"/>
      <c r="EL40" s="27"/>
      <c r="EM40" s="23"/>
      <c r="EN40" s="23"/>
      <c r="EO40" s="27"/>
      <c r="EP40" s="23"/>
      <c r="EQ40" s="23"/>
      <c r="ER40" s="27"/>
      <c r="ES40" s="23"/>
      <c r="ET40" s="23"/>
      <c r="EU40" s="27"/>
      <c r="EV40" s="23"/>
      <c r="EW40" s="23"/>
      <c r="EX40" s="27"/>
      <c r="EY40" s="23"/>
      <c r="EZ40" s="27"/>
      <c r="FA40" s="27"/>
      <c r="FB40" s="23"/>
      <c r="FC40" s="23"/>
      <c r="FD40" s="27"/>
      <c r="FE40" s="23"/>
      <c r="FF40" s="23"/>
      <c r="FG40" s="27"/>
      <c r="FH40" s="23"/>
      <c r="FI40" s="23"/>
      <c r="FJ40" s="27"/>
      <c r="FK40" s="23"/>
      <c r="FL40" s="27"/>
      <c r="FM40" s="27"/>
      <c r="FN40" s="23"/>
      <c r="FO40" s="23"/>
      <c r="FP40" s="27"/>
      <c r="FQ40" s="23"/>
      <c r="FR40" s="23"/>
      <c r="FS40" s="27"/>
      <c r="FT40" s="23"/>
      <c r="FU40" s="23"/>
      <c r="FV40" s="27"/>
      <c r="FW40" s="23"/>
      <c r="FX40" s="27"/>
      <c r="FY40" s="3"/>
      <c r="FZ40" s="27"/>
      <c r="GA40" s="27"/>
      <c r="GB40" s="27"/>
      <c r="GC40" s="27"/>
    </row>
    <row r="41" spans="1:185" ht="42" x14ac:dyDescent="0.3">
      <c r="A41" s="4"/>
      <c r="B41" s="132" t="s">
        <v>94</v>
      </c>
      <c r="C41" s="139" t="s">
        <v>213</v>
      </c>
      <c r="D41" s="11" t="s">
        <v>95</v>
      </c>
      <c r="E41" s="44">
        <v>3</v>
      </c>
      <c r="F41" s="135">
        <v>2004</v>
      </c>
      <c r="G41" s="3"/>
      <c r="H41" s="12"/>
      <c r="I41" s="12"/>
      <c r="J41" s="19"/>
      <c r="K41" s="12"/>
      <c r="L41" s="12"/>
      <c r="M41" s="19"/>
      <c r="N41" s="12"/>
      <c r="O41" s="12"/>
      <c r="P41" s="19"/>
      <c r="Q41" s="26">
        <f>((8.6*52)*T3)*(106.3/81.2)</f>
        <v>585.43546798029547</v>
      </c>
      <c r="R41" s="26">
        <f>((22.2*SQRT(52))*T3)*(106.3/81.2)</f>
        <v>209.57133578611942</v>
      </c>
      <c r="S41" s="19"/>
      <c r="T41" s="12"/>
      <c r="U41" s="12"/>
      <c r="V41" s="19"/>
      <c r="W41" s="12"/>
      <c r="X41" s="12"/>
      <c r="Y41" s="19"/>
      <c r="Z41" s="12"/>
      <c r="AA41" s="12"/>
      <c r="AB41" s="19"/>
      <c r="AC41" s="12"/>
      <c r="AD41" s="12"/>
      <c r="AE41" s="19"/>
      <c r="AF41" s="12"/>
      <c r="AG41" s="12"/>
      <c r="AH41" s="19"/>
      <c r="AI41" s="12"/>
      <c r="AJ41" s="12"/>
      <c r="AK41" s="19"/>
      <c r="AL41" s="12"/>
      <c r="AM41" s="12"/>
      <c r="AN41" s="19"/>
      <c r="AO41" s="22"/>
      <c r="AP41" s="22"/>
      <c r="AQ41" s="19"/>
      <c r="AR41" s="12"/>
      <c r="AS41" s="12"/>
      <c r="AT41" s="19"/>
      <c r="AU41" s="12"/>
      <c r="AV41" s="12"/>
      <c r="AW41" s="19"/>
      <c r="AX41" s="12"/>
      <c r="AY41" s="12"/>
      <c r="AZ41" s="19"/>
      <c r="BA41" s="12"/>
      <c r="BB41" s="12"/>
      <c r="BC41" s="19"/>
      <c r="BD41" s="12"/>
      <c r="BE41" s="12"/>
      <c r="BF41" s="19"/>
      <c r="BG41" s="12"/>
      <c r="BH41" s="12"/>
      <c r="BI41" s="19"/>
      <c r="BJ41" s="12"/>
      <c r="BK41" s="12"/>
      <c r="BL41" s="19"/>
      <c r="BM41" s="12"/>
      <c r="BN41" s="12"/>
      <c r="BO41" s="19"/>
      <c r="BP41" s="12"/>
      <c r="BQ41" s="12"/>
      <c r="BR41" s="19"/>
      <c r="BS41" s="12"/>
      <c r="BT41" s="12"/>
      <c r="BU41" s="19"/>
      <c r="BV41" s="12"/>
      <c r="BW41" s="12"/>
      <c r="BX41" s="19"/>
      <c r="BY41" s="12"/>
      <c r="BZ41" s="12"/>
      <c r="CA41" s="19"/>
      <c r="CB41" s="12"/>
      <c r="CC41" s="12"/>
      <c r="CD41" s="19"/>
      <c r="CE41" s="12"/>
      <c r="CF41" s="12"/>
      <c r="CG41" s="19"/>
      <c r="CH41" s="26">
        <f>((20*52)*T3)*(106.3/81.2)</f>
        <v>1361.4778325123152</v>
      </c>
      <c r="CI41" s="26">
        <f>((41.8*SQRT(52))*T3)*(106.3/81.2)</f>
        <v>394.59828089458523</v>
      </c>
      <c r="CJ41" s="19"/>
      <c r="CK41" s="22"/>
      <c r="CL41" s="22"/>
      <c r="CM41" s="19"/>
      <c r="CN41" s="22"/>
      <c r="CO41" s="22"/>
      <c r="CP41" s="19"/>
      <c r="CQ41" s="28"/>
      <c r="CR41" s="19"/>
      <c r="CS41" s="3"/>
      <c r="CT41" s="15"/>
      <c r="CU41" s="15"/>
      <c r="CV41" s="4"/>
      <c r="CW41" s="15"/>
      <c r="CX41" s="15"/>
      <c r="CY41" s="4"/>
      <c r="CZ41" s="15"/>
      <c r="DA41" s="15"/>
      <c r="DB41" s="4"/>
      <c r="DC41" s="15"/>
      <c r="DD41" s="15"/>
      <c r="DE41" s="4"/>
      <c r="DF41" s="15"/>
      <c r="DG41" s="15"/>
      <c r="DH41" s="4"/>
      <c r="DI41" s="26">
        <f>((1278.1*52)*T3)*(106.3/81.2)</f>
        <v>87005.240886699496</v>
      </c>
      <c r="DJ41" s="26">
        <f>((650.8*SQRT(52))*T3)*(106.3/81.2)</f>
        <v>6143.6497896219153</v>
      </c>
      <c r="DK41" s="4"/>
      <c r="DL41" s="1"/>
      <c r="DM41" s="1"/>
      <c r="DN41" s="4"/>
      <c r="DO41" s="1"/>
      <c r="DP41" s="1"/>
      <c r="DQ41" s="4"/>
      <c r="DR41" s="1"/>
      <c r="DS41" s="1"/>
      <c r="DT41" s="4"/>
      <c r="DU41" s="2"/>
      <c r="DV41" s="2"/>
      <c r="DW41" s="4"/>
      <c r="DX41" s="1"/>
      <c r="DY41" s="1"/>
      <c r="DZ41" s="4"/>
      <c r="EA41" s="1"/>
      <c r="EB41" s="1"/>
      <c r="EC41" s="4"/>
      <c r="ED41" s="1"/>
      <c r="EE41" s="1"/>
      <c r="EF41" s="4"/>
      <c r="EG41" s="1"/>
      <c r="EH41" s="1"/>
      <c r="EI41" s="4"/>
      <c r="EJ41" s="15"/>
      <c r="EK41" s="15"/>
      <c r="EL41" s="4"/>
      <c r="EM41" s="26">
        <f>((264.9*52)*T3)*(106.3/81.2)</f>
        <v>18032.773891625613</v>
      </c>
      <c r="EN41" s="26">
        <f>((186.3*SQRT(52))*T3)*(106.3/81.2)</f>
        <v>1758.6999935564891</v>
      </c>
      <c r="EO41" s="4"/>
      <c r="EP41" s="1"/>
      <c r="EQ41" s="1"/>
      <c r="ER41" s="4"/>
      <c r="ES41" s="1"/>
      <c r="ET41" s="1"/>
      <c r="EU41" s="4"/>
      <c r="EV41" s="1"/>
      <c r="EW41" s="1"/>
      <c r="EX41" s="4"/>
      <c r="EY41" s="120"/>
      <c r="EZ41" s="4"/>
      <c r="FA41" s="4"/>
      <c r="FB41" s="1"/>
      <c r="FC41" s="1"/>
      <c r="FD41" s="4"/>
      <c r="FE41" s="1"/>
      <c r="FF41" s="1"/>
      <c r="FG41" s="4"/>
      <c r="FH41" s="1"/>
      <c r="FI41" s="1"/>
      <c r="FJ41" s="4"/>
      <c r="FK41" s="2"/>
      <c r="FL41" s="4"/>
      <c r="FM41" s="4"/>
      <c r="FN41" s="1"/>
      <c r="FO41" s="1"/>
      <c r="FP41" s="4"/>
      <c r="FQ41" s="1"/>
      <c r="FR41" s="1"/>
      <c r="FS41" s="4"/>
      <c r="FT41" s="1"/>
      <c r="FU41" s="1"/>
      <c r="FV41" s="4"/>
      <c r="FW41" s="2"/>
      <c r="FX41" s="4"/>
      <c r="FY41" s="3"/>
      <c r="FZ41" s="4"/>
      <c r="GA41" s="4"/>
      <c r="GB41" s="4"/>
      <c r="GC41" s="4"/>
    </row>
    <row r="42" spans="1:185" ht="42" x14ac:dyDescent="0.3">
      <c r="A42" s="4"/>
      <c r="B42" s="140"/>
      <c r="C42" s="141"/>
      <c r="D42" s="11" t="s">
        <v>96</v>
      </c>
      <c r="E42" s="44">
        <v>3</v>
      </c>
      <c r="F42" s="136"/>
      <c r="G42" s="3"/>
      <c r="H42" s="12"/>
      <c r="I42" s="12"/>
      <c r="J42" s="19"/>
      <c r="K42" s="12"/>
      <c r="L42" s="12"/>
      <c r="M42" s="19"/>
      <c r="N42" s="12"/>
      <c r="O42" s="12"/>
      <c r="P42" s="19"/>
      <c r="Q42" s="26">
        <f>((11.6*52)*T3)*(106.3/81.28)</f>
        <v>788.87992125984238</v>
      </c>
      <c r="R42" s="26">
        <f>((39.2*SQRT(52))*T3)*(106.3/81.2)</f>
        <v>370.05389021693162</v>
      </c>
      <c r="S42" s="19"/>
      <c r="T42" s="12"/>
      <c r="U42" s="12"/>
      <c r="V42" s="19"/>
      <c r="W42" s="12"/>
      <c r="X42" s="12"/>
      <c r="Y42" s="19"/>
      <c r="Z42" s="12"/>
      <c r="AA42" s="12"/>
      <c r="AB42" s="19"/>
      <c r="AC42" s="12"/>
      <c r="AD42" s="12"/>
      <c r="AE42" s="19"/>
      <c r="AF42" s="12"/>
      <c r="AG42" s="12"/>
      <c r="AH42" s="19"/>
      <c r="AI42" s="12"/>
      <c r="AJ42" s="12"/>
      <c r="AK42" s="19"/>
      <c r="AL42" s="12"/>
      <c r="AM42" s="12"/>
      <c r="AN42" s="19"/>
      <c r="AO42" s="22"/>
      <c r="AP42" s="22"/>
      <c r="AQ42" s="19"/>
      <c r="AR42" s="12"/>
      <c r="AS42" s="12"/>
      <c r="AT42" s="19"/>
      <c r="AU42" s="12"/>
      <c r="AV42" s="12"/>
      <c r="AW42" s="19"/>
      <c r="AX42" s="12"/>
      <c r="AY42" s="12"/>
      <c r="AZ42" s="19"/>
      <c r="BA42" s="12"/>
      <c r="BB42" s="12"/>
      <c r="BC42" s="19"/>
      <c r="BD42" s="12"/>
      <c r="BE42" s="12"/>
      <c r="BF42" s="19"/>
      <c r="BG42" s="12"/>
      <c r="BH42" s="12"/>
      <c r="BI42" s="19"/>
      <c r="BJ42" s="12"/>
      <c r="BK42" s="12"/>
      <c r="BL42" s="19"/>
      <c r="BM42" s="12"/>
      <c r="BN42" s="12"/>
      <c r="BO42" s="19"/>
      <c r="BP42" s="12"/>
      <c r="BQ42" s="12"/>
      <c r="BR42" s="19"/>
      <c r="BS42" s="12"/>
      <c r="BT42" s="12"/>
      <c r="BU42" s="19"/>
      <c r="BV42" s="12"/>
      <c r="BW42" s="12"/>
      <c r="BX42" s="19"/>
      <c r="BY42" s="12"/>
      <c r="BZ42" s="12"/>
      <c r="CA42" s="19"/>
      <c r="CB42" s="12"/>
      <c r="CC42" s="12"/>
      <c r="CD42" s="19"/>
      <c r="CE42" s="12"/>
      <c r="CF42" s="12"/>
      <c r="CG42" s="19"/>
      <c r="CH42" s="26">
        <f>((17*52)*T3)*(106.3/81.28)</f>
        <v>1156.117125984252</v>
      </c>
      <c r="CI42" s="26">
        <f>((23.6*SQRT(52))*T3)*(106.3/81.2)</f>
        <v>222.78754615100985</v>
      </c>
      <c r="CJ42" s="19"/>
      <c r="CK42" s="22"/>
      <c r="CL42" s="22"/>
      <c r="CM42" s="19"/>
      <c r="CN42" s="22"/>
      <c r="CO42" s="22"/>
      <c r="CP42" s="19"/>
      <c r="CQ42" s="28"/>
      <c r="CR42" s="19"/>
      <c r="CS42" s="3"/>
      <c r="CT42" s="15"/>
      <c r="CU42" s="15"/>
      <c r="CV42" s="4"/>
      <c r="CW42" s="15"/>
      <c r="CX42" s="15"/>
      <c r="CY42" s="4"/>
      <c r="CZ42" s="15"/>
      <c r="DA42" s="15"/>
      <c r="DB42" s="4"/>
      <c r="DC42" s="15"/>
      <c r="DD42" s="15"/>
      <c r="DE42" s="4"/>
      <c r="DF42" s="15"/>
      <c r="DG42" s="15"/>
      <c r="DH42" s="4"/>
      <c r="DI42" s="26">
        <f>((381.7*52)*T3)*(106.3/81.2)</f>
        <v>25983.804433497531</v>
      </c>
      <c r="DJ42" s="26">
        <f>((326*SQRT(52))*T3)*(106.3/81.2)</f>
        <v>3077.4889849673395</v>
      </c>
      <c r="DK42" s="4"/>
      <c r="DL42" s="1"/>
      <c r="DM42" s="1"/>
      <c r="DN42" s="4"/>
      <c r="DO42" s="1"/>
      <c r="DP42" s="1"/>
      <c r="DQ42" s="4"/>
      <c r="DR42" s="1"/>
      <c r="DS42" s="1"/>
      <c r="DT42" s="4"/>
      <c r="DU42" s="2"/>
      <c r="DV42" s="2"/>
      <c r="DW42" s="4"/>
      <c r="DX42" s="1"/>
      <c r="DY42" s="1"/>
      <c r="DZ42" s="4"/>
      <c r="EA42" s="1"/>
      <c r="EB42" s="1"/>
      <c r="EC42" s="4"/>
      <c r="ED42" s="1"/>
      <c r="EE42" s="1"/>
      <c r="EF42" s="4"/>
      <c r="EG42" s="1"/>
      <c r="EH42" s="1"/>
      <c r="EI42" s="4"/>
      <c r="EJ42" s="15"/>
      <c r="EK42" s="15"/>
      <c r="EL42" s="4"/>
      <c r="EM42" s="26">
        <f>((145.3*52)*T3)*(106.3/81.2)</f>
        <v>9891.1364532019707</v>
      </c>
      <c r="EN42" s="26">
        <f>((128.6*SQRT(52))*T3)*(106.3/81.2)</f>
        <v>1214.0033235177909</v>
      </c>
      <c r="EO42" s="4"/>
      <c r="EP42" s="1"/>
      <c r="EQ42" s="1"/>
      <c r="ER42" s="4"/>
      <c r="ES42" s="1"/>
      <c r="ET42" s="1"/>
      <c r="EU42" s="4"/>
      <c r="EV42" s="1"/>
      <c r="EW42" s="1"/>
      <c r="EX42" s="4"/>
      <c r="EY42" s="120"/>
      <c r="EZ42" s="4"/>
      <c r="FA42" s="4"/>
      <c r="FB42" s="1"/>
      <c r="FC42" s="1"/>
      <c r="FD42" s="4"/>
      <c r="FE42" s="1"/>
      <c r="FF42" s="1"/>
      <c r="FG42" s="4"/>
      <c r="FH42" s="1"/>
      <c r="FI42" s="1"/>
      <c r="FJ42" s="4"/>
      <c r="FK42" s="2"/>
      <c r="FL42" s="4"/>
      <c r="FM42" s="4"/>
      <c r="FN42" s="1"/>
      <c r="FO42" s="1"/>
      <c r="FP42" s="4"/>
      <c r="FQ42" s="1"/>
      <c r="FR42" s="1"/>
      <c r="FS42" s="4"/>
      <c r="FT42" s="1"/>
      <c r="FU42" s="1"/>
      <c r="FV42" s="4"/>
      <c r="FW42" s="2"/>
      <c r="FX42" s="4"/>
      <c r="FY42" s="3"/>
      <c r="FZ42" s="4"/>
      <c r="GA42" s="4"/>
      <c r="GB42" s="4"/>
      <c r="GC42" s="4"/>
    </row>
    <row r="43" spans="1:185" x14ac:dyDescent="0.3">
      <c r="A43" s="4"/>
      <c r="B43" s="3"/>
      <c r="C43" s="3"/>
      <c r="D43" s="3"/>
      <c r="E43" s="46"/>
      <c r="F43" s="3"/>
      <c r="G43" s="3"/>
      <c r="H43" s="3"/>
      <c r="I43" s="3"/>
      <c r="J43" s="19"/>
      <c r="K43" s="3"/>
      <c r="L43" s="3"/>
      <c r="M43" s="19"/>
      <c r="N43" s="3"/>
      <c r="O43" s="3"/>
      <c r="P43" s="19"/>
      <c r="Q43" s="23"/>
      <c r="R43" s="23"/>
      <c r="S43" s="19"/>
      <c r="T43" s="41"/>
      <c r="U43" s="41"/>
      <c r="V43" s="19"/>
      <c r="W43" s="41"/>
      <c r="X43" s="3"/>
      <c r="Y43" s="19"/>
      <c r="Z43" s="3"/>
      <c r="AA43" s="3"/>
      <c r="AB43" s="19"/>
      <c r="AC43" s="3"/>
      <c r="AD43" s="3"/>
      <c r="AE43" s="19"/>
      <c r="AF43" s="3"/>
      <c r="AG43" s="3"/>
      <c r="AH43" s="19"/>
      <c r="AI43" s="3"/>
      <c r="AJ43" s="3"/>
      <c r="AK43" s="19"/>
      <c r="AL43" s="3"/>
      <c r="AM43" s="3"/>
      <c r="AN43" s="19"/>
      <c r="AO43" s="3"/>
      <c r="AP43" s="3"/>
      <c r="AQ43" s="19"/>
      <c r="AR43" s="3"/>
      <c r="AS43" s="3"/>
      <c r="AT43" s="19"/>
      <c r="AU43" s="3"/>
      <c r="AV43" s="3"/>
      <c r="AW43" s="19"/>
      <c r="AX43" s="3"/>
      <c r="AY43" s="3"/>
      <c r="AZ43" s="19"/>
      <c r="BA43" s="3"/>
      <c r="BB43" s="3"/>
      <c r="BC43" s="19"/>
      <c r="BD43" s="3"/>
      <c r="BE43" s="3"/>
      <c r="BF43" s="19"/>
      <c r="BG43" s="3"/>
      <c r="BH43" s="3"/>
      <c r="BI43" s="19"/>
      <c r="BJ43" s="3"/>
      <c r="BK43" s="3"/>
      <c r="BL43" s="19"/>
      <c r="BM43" s="3"/>
      <c r="BN43" s="3"/>
      <c r="BO43" s="19"/>
      <c r="BP43" s="3"/>
      <c r="BQ43" s="3"/>
      <c r="BR43" s="19"/>
      <c r="BS43" s="3"/>
      <c r="BT43" s="3"/>
      <c r="BU43" s="19"/>
      <c r="BV43" s="3"/>
      <c r="BW43" s="3"/>
      <c r="BX43" s="19"/>
      <c r="BY43" s="3"/>
      <c r="BZ43" s="3"/>
      <c r="CA43" s="19"/>
      <c r="CB43" s="3"/>
      <c r="CC43" s="3"/>
      <c r="CD43" s="19"/>
      <c r="CE43" s="3"/>
      <c r="CF43" s="3"/>
      <c r="CG43" s="19"/>
      <c r="CH43" s="23"/>
      <c r="CI43" s="23"/>
      <c r="CJ43" s="19"/>
      <c r="CK43" s="3"/>
      <c r="CL43" s="3"/>
      <c r="CM43" s="4"/>
      <c r="CN43" s="3"/>
      <c r="CO43" s="3"/>
      <c r="CP43" s="4"/>
      <c r="CQ43" s="3"/>
      <c r="CR43" s="4"/>
      <c r="CS43" s="3"/>
      <c r="CT43" s="3"/>
      <c r="CU43" s="3"/>
      <c r="CV43" s="19"/>
      <c r="CW43" s="3"/>
      <c r="CX43" s="3"/>
      <c r="CY43" s="19"/>
      <c r="CZ43" s="3"/>
      <c r="DA43" s="3"/>
      <c r="DB43" s="19"/>
      <c r="DC43" s="3"/>
      <c r="DD43" s="3"/>
      <c r="DE43" s="19"/>
      <c r="DF43" s="3"/>
      <c r="DG43" s="3"/>
      <c r="DH43" s="19"/>
      <c r="DI43" s="23"/>
      <c r="DJ43" s="23"/>
      <c r="DK43" s="19"/>
      <c r="DL43" s="3"/>
      <c r="DM43" s="3"/>
      <c r="DN43" s="4"/>
      <c r="DO43" s="3"/>
      <c r="DP43" s="3"/>
      <c r="DQ43" s="4"/>
      <c r="DR43" s="3"/>
      <c r="DS43" s="3"/>
      <c r="DT43" s="4"/>
      <c r="DU43" s="3"/>
      <c r="DV43" s="3"/>
      <c r="DW43" s="4"/>
      <c r="DX43" s="3"/>
      <c r="DY43" s="3"/>
      <c r="DZ43" s="4"/>
      <c r="EA43" s="3"/>
      <c r="EB43" s="3"/>
      <c r="EC43" s="4"/>
      <c r="ED43" s="3"/>
      <c r="EE43" s="3"/>
      <c r="EF43" s="4"/>
      <c r="EG43" s="3"/>
      <c r="EH43" s="3"/>
      <c r="EI43" s="4"/>
      <c r="EJ43" s="23"/>
      <c r="EK43" s="23"/>
      <c r="EL43" s="4"/>
      <c r="EM43" s="23"/>
      <c r="EN43" s="23"/>
      <c r="EO43" s="4"/>
      <c r="EP43" s="3"/>
      <c r="EQ43" s="3"/>
      <c r="ER43" s="4"/>
      <c r="ES43" s="3"/>
      <c r="ET43" s="3"/>
      <c r="EU43" s="4"/>
      <c r="EV43" s="3"/>
      <c r="EW43" s="3"/>
      <c r="EX43" s="4"/>
      <c r="EY43" s="3"/>
      <c r="EZ43" s="4"/>
      <c r="FA43" s="4"/>
      <c r="FB43" s="3"/>
      <c r="FC43" s="3"/>
      <c r="FD43" s="4"/>
      <c r="FE43" s="3"/>
      <c r="FF43" s="3"/>
      <c r="FG43" s="4"/>
      <c r="FH43" s="3"/>
      <c r="FI43" s="3"/>
      <c r="FJ43" s="4"/>
      <c r="FK43" s="3"/>
      <c r="FL43" s="4"/>
      <c r="FM43" s="4"/>
      <c r="FN43" s="3"/>
      <c r="FO43" s="3"/>
      <c r="FP43" s="4"/>
      <c r="FQ43" s="3"/>
      <c r="FR43" s="3"/>
      <c r="FS43" s="4"/>
      <c r="FT43" s="3"/>
      <c r="FU43" s="3"/>
      <c r="FV43" s="4"/>
      <c r="FW43" s="3"/>
      <c r="FX43" s="4"/>
      <c r="FY43" s="3"/>
      <c r="FZ43" s="87"/>
      <c r="GA43" s="4"/>
      <c r="GB43" s="4"/>
      <c r="GC43" s="4"/>
    </row>
    <row r="44" spans="1:185" ht="28" x14ac:dyDescent="0.3">
      <c r="A44" s="4"/>
      <c r="B44" s="132" t="s">
        <v>97</v>
      </c>
      <c r="C44" s="139" t="s">
        <v>213</v>
      </c>
      <c r="D44" s="11" t="s">
        <v>98</v>
      </c>
      <c r="E44" s="44">
        <v>3</v>
      </c>
      <c r="F44" s="135">
        <v>2004</v>
      </c>
      <c r="G44" s="3"/>
      <c r="H44" s="1"/>
      <c r="I44" s="1"/>
      <c r="J44" s="4"/>
      <c r="K44" s="1"/>
      <c r="L44" s="1"/>
      <c r="M44" s="4"/>
      <c r="N44" s="1"/>
      <c r="O44" s="1"/>
      <c r="P44" s="4"/>
      <c r="Q44" s="26">
        <f>((9*52)*T3)*(106.3/81.2)</f>
        <v>612.66502463054189</v>
      </c>
      <c r="R44" s="26">
        <f>((38*SQRT(52))*T3)*(106.3/81.28)</f>
        <v>358.37263341804226</v>
      </c>
      <c r="S44" s="4"/>
      <c r="T44" s="18"/>
      <c r="U44" s="18"/>
      <c r="V44" s="20"/>
      <c r="W44" s="18"/>
      <c r="X44" s="1"/>
      <c r="Y44" s="4"/>
      <c r="Z44" s="1"/>
      <c r="AA44" s="1"/>
      <c r="AB44" s="4"/>
      <c r="AC44" s="1"/>
      <c r="AD44" s="1"/>
      <c r="AE44" s="4"/>
      <c r="AF44" s="1"/>
      <c r="AG44" s="1"/>
      <c r="AH44" s="4"/>
      <c r="AI44" s="1"/>
      <c r="AJ44" s="1"/>
      <c r="AK44" s="4"/>
      <c r="AL44" s="1"/>
      <c r="AM44" s="1"/>
      <c r="AN44" s="4"/>
      <c r="AO44" s="1"/>
      <c r="AP44" s="1"/>
      <c r="AQ44" s="4"/>
      <c r="AR44" s="1"/>
      <c r="AS44" s="1"/>
      <c r="AT44" s="4"/>
      <c r="AU44" s="1"/>
      <c r="AV44" s="1"/>
      <c r="AW44" s="4"/>
      <c r="AX44" s="1"/>
      <c r="AY44" s="1"/>
      <c r="AZ44" s="4"/>
      <c r="BA44" s="1"/>
      <c r="BB44" s="1"/>
      <c r="BC44" s="4"/>
      <c r="BD44" s="1"/>
      <c r="BE44" s="1"/>
      <c r="BF44" s="4"/>
      <c r="BG44" s="1"/>
      <c r="BH44" s="1"/>
      <c r="BI44" s="4"/>
      <c r="BJ44" s="1"/>
      <c r="BK44" s="1"/>
      <c r="BL44" s="4"/>
      <c r="BM44" s="1"/>
      <c r="BN44" s="1"/>
      <c r="BO44" s="4"/>
      <c r="BP44" s="1"/>
      <c r="BQ44" s="1"/>
      <c r="BR44" s="4"/>
      <c r="BS44" s="1"/>
      <c r="BT44" s="1"/>
      <c r="BU44" s="4"/>
      <c r="BV44" s="1"/>
      <c r="BW44" s="1"/>
      <c r="BX44" s="4"/>
      <c r="BY44" s="1"/>
      <c r="BZ44" s="1"/>
      <c r="CA44" s="4"/>
      <c r="CB44" s="1"/>
      <c r="CC44" s="1"/>
      <c r="CD44" s="4"/>
      <c r="CE44" s="1"/>
      <c r="CF44" s="1"/>
      <c r="CG44" s="4"/>
      <c r="CH44" s="26">
        <f>((31*52)*T3)*(106.3/81.2)</f>
        <v>2110.2906403940888</v>
      </c>
      <c r="CI44" s="26">
        <f>((58*SQRT(52))*T3)*(106.3/81.2)</f>
        <v>547.52871511688863</v>
      </c>
      <c r="CJ44" s="4"/>
      <c r="CK44" s="15"/>
      <c r="CL44" s="15"/>
      <c r="CM44" s="4"/>
      <c r="CN44" s="15"/>
      <c r="CO44" s="15"/>
      <c r="CP44" s="4"/>
      <c r="CQ44" s="28"/>
      <c r="CR44" s="4"/>
      <c r="CS44" s="3"/>
      <c r="CT44" s="15"/>
      <c r="CU44" s="15"/>
      <c r="CV44" s="4"/>
      <c r="CW44" s="15"/>
      <c r="CX44" s="15"/>
      <c r="CY44" s="4"/>
      <c r="CZ44" s="15"/>
      <c r="DA44" s="15"/>
      <c r="DB44" s="4"/>
      <c r="DC44" s="15"/>
      <c r="DD44" s="15"/>
      <c r="DE44" s="4"/>
      <c r="DF44" s="15"/>
      <c r="DG44" s="15"/>
      <c r="DH44" s="4"/>
      <c r="DI44" s="26">
        <f>((2153*52)*T3)*(106.3/81.2)</f>
        <v>146563.08866995072</v>
      </c>
      <c r="DJ44" s="26">
        <f>((911*SQRT(52))*T3)*(106.3/81.28)</f>
        <v>8591.5123432588553</v>
      </c>
      <c r="DK44" s="4"/>
      <c r="DL44" s="1"/>
      <c r="DM44" s="1"/>
      <c r="DN44" s="4"/>
      <c r="DO44" s="1"/>
      <c r="DP44" s="1"/>
      <c r="DQ44" s="4"/>
      <c r="DR44" s="1"/>
      <c r="DS44" s="1"/>
      <c r="DT44" s="4"/>
      <c r="DU44" s="2"/>
      <c r="DV44" s="2"/>
      <c r="DW44" s="4"/>
      <c r="DX44" s="1"/>
      <c r="DY44" s="1"/>
      <c r="DZ44" s="4"/>
      <c r="EA44" s="1"/>
      <c r="EB44" s="1"/>
      <c r="EC44" s="4"/>
      <c r="ED44" s="1"/>
      <c r="EE44" s="1"/>
      <c r="EF44" s="4"/>
      <c r="EG44" s="1"/>
      <c r="EH44" s="1"/>
      <c r="EI44" s="4"/>
      <c r="EJ44" s="15"/>
      <c r="EK44" s="15"/>
      <c r="EL44" s="4"/>
      <c r="EM44" s="26">
        <f>((228*52)*T3)*(106.3/81.21)</f>
        <v>15518.936091614332</v>
      </c>
      <c r="EN44" s="26">
        <f>((230*SQRT(52))*T3)*(106.3/81.2)</f>
        <v>2171.2345599462824</v>
      </c>
      <c r="EO44" s="4"/>
      <c r="EP44" s="1"/>
      <c r="EQ44" s="1"/>
      <c r="ER44" s="4"/>
      <c r="ES44" s="1"/>
      <c r="ET44" s="1"/>
      <c r="EU44" s="4"/>
      <c r="EV44" s="1"/>
      <c r="EW44" s="1"/>
      <c r="EX44" s="4"/>
      <c r="EY44" s="120"/>
      <c r="EZ44" s="4"/>
      <c r="FA44" s="4"/>
      <c r="FB44" s="1"/>
      <c r="FC44" s="1"/>
      <c r="FD44" s="4"/>
      <c r="FE44" s="1"/>
      <c r="FF44" s="1"/>
      <c r="FG44" s="4"/>
      <c r="FH44" s="1"/>
      <c r="FI44" s="1"/>
      <c r="FJ44" s="4"/>
      <c r="FK44" s="2"/>
      <c r="FL44" s="4"/>
      <c r="FM44" s="4"/>
      <c r="FN44" s="1"/>
      <c r="FO44" s="1"/>
      <c r="FP44" s="4"/>
      <c r="FQ44" s="1"/>
      <c r="FR44" s="1"/>
      <c r="FS44" s="4"/>
      <c r="FT44" s="1"/>
      <c r="FU44" s="1"/>
      <c r="FV44" s="4"/>
      <c r="FW44" s="2"/>
      <c r="FX44" s="4"/>
      <c r="FY44" s="3"/>
      <c r="FZ44" s="4"/>
      <c r="GA44" s="4"/>
      <c r="GB44" s="4"/>
      <c r="GC44" s="4"/>
    </row>
    <row r="45" spans="1:185" ht="28" x14ac:dyDescent="0.3">
      <c r="A45" s="4"/>
      <c r="B45" s="140"/>
      <c r="C45" s="141"/>
      <c r="D45" s="11" t="s">
        <v>99</v>
      </c>
      <c r="E45" s="44">
        <v>3</v>
      </c>
      <c r="F45" s="136"/>
      <c r="G45" s="3"/>
      <c r="H45" s="1"/>
      <c r="I45" s="1"/>
      <c r="J45" s="4"/>
      <c r="K45" s="1"/>
      <c r="L45" s="1"/>
      <c r="M45" s="4"/>
      <c r="N45" s="1"/>
      <c r="O45" s="1"/>
      <c r="P45" s="4"/>
      <c r="Q45" s="26">
        <f>((5*52)*T3)*(106.3/81.2)</f>
        <v>340.3694581280788</v>
      </c>
      <c r="R45" s="26">
        <f>((18*SQRT(52))*T3)*(106.3/81.2)</f>
        <v>169.92270469144819</v>
      </c>
      <c r="S45" s="4"/>
      <c r="T45" s="18"/>
      <c r="U45" s="18"/>
      <c r="V45" s="20"/>
      <c r="W45" s="18"/>
      <c r="X45" s="1"/>
      <c r="Y45" s="4"/>
      <c r="Z45" s="1"/>
      <c r="AA45" s="1"/>
      <c r="AB45" s="4"/>
      <c r="AC45" s="1"/>
      <c r="AD45" s="1"/>
      <c r="AE45" s="4"/>
      <c r="AF45" s="1"/>
      <c r="AG45" s="1"/>
      <c r="AH45" s="4"/>
      <c r="AI45" s="1"/>
      <c r="AJ45" s="1"/>
      <c r="AK45" s="4"/>
      <c r="AL45" s="1"/>
      <c r="AM45" s="1"/>
      <c r="AN45" s="4"/>
      <c r="AO45" s="1"/>
      <c r="AP45" s="1"/>
      <c r="AQ45" s="4"/>
      <c r="AR45" s="1"/>
      <c r="AS45" s="1"/>
      <c r="AT45" s="4"/>
      <c r="AU45" s="1"/>
      <c r="AV45" s="1"/>
      <c r="AW45" s="4"/>
      <c r="AX45" s="1"/>
      <c r="AY45" s="1"/>
      <c r="AZ45" s="4"/>
      <c r="BA45" s="1"/>
      <c r="BB45" s="1"/>
      <c r="BC45" s="4"/>
      <c r="BD45" s="1"/>
      <c r="BE45" s="1"/>
      <c r="BF45" s="4"/>
      <c r="BG45" s="1"/>
      <c r="BH45" s="1"/>
      <c r="BI45" s="4"/>
      <c r="BJ45" s="1"/>
      <c r="BK45" s="1"/>
      <c r="BL45" s="4"/>
      <c r="BM45" s="1"/>
      <c r="BN45" s="1"/>
      <c r="BO45" s="4"/>
      <c r="BP45" s="1"/>
      <c r="BQ45" s="1"/>
      <c r="BR45" s="4"/>
      <c r="BS45" s="1"/>
      <c r="BT45" s="1"/>
      <c r="BU45" s="4"/>
      <c r="BV45" s="1"/>
      <c r="BW45" s="1"/>
      <c r="BX45" s="4"/>
      <c r="BY45" s="1"/>
      <c r="BZ45" s="1"/>
      <c r="CA45" s="4"/>
      <c r="CB45" s="1"/>
      <c r="CC45" s="1"/>
      <c r="CD45" s="4"/>
      <c r="CE45" s="1"/>
      <c r="CF45" s="1"/>
      <c r="CG45" s="4"/>
      <c r="CH45" s="26">
        <f>((29*52)*T3)*(106.3/81.2)</f>
        <v>1974.1428571428571</v>
      </c>
      <c r="CI45" s="26">
        <f>((47*SQRT(52))*T3)*(106.3/81.2)</f>
        <v>443.68706224989245</v>
      </c>
      <c r="CJ45" s="4"/>
      <c r="CK45" s="1"/>
      <c r="CL45" s="1"/>
      <c r="CM45" s="4"/>
      <c r="CN45" s="1"/>
      <c r="CO45" s="1"/>
      <c r="CP45" s="4"/>
      <c r="CQ45" s="28"/>
      <c r="CR45" s="4"/>
      <c r="CS45" s="3"/>
      <c r="CT45" s="15"/>
      <c r="CU45" s="15"/>
      <c r="CV45" s="4"/>
      <c r="CW45" s="15"/>
      <c r="CX45" s="15"/>
      <c r="CY45" s="4"/>
      <c r="CZ45" s="15"/>
      <c r="DA45" s="15"/>
      <c r="DB45" s="4"/>
      <c r="DC45" s="15"/>
      <c r="DD45" s="15"/>
      <c r="DE45" s="4"/>
      <c r="DF45" s="15"/>
      <c r="DG45" s="15"/>
      <c r="DH45" s="4"/>
      <c r="DI45" s="26">
        <f>((2228*52)*T3)*(106.3/81.2)</f>
        <v>151668.63054187191</v>
      </c>
      <c r="DJ45" s="26">
        <f>((2228*SQRT(52))*T3)*(106.3/81.2)</f>
        <v>21032.65478069703</v>
      </c>
      <c r="DK45" s="4"/>
      <c r="DL45" s="1"/>
      <c r="DM45" s="1"/>
      <c r="DN45" s="4"/>
      <c r="DO45" s="1"/>
      <c r="DP45" s="1"/>
      <c r="DQ45" s="4"/>
      <c r="DR45" s="1"/>
      <c r="DS45" s="1"/>
      <c r="DT45" s="4"/>
      <c r="DU45" s="2"/>
      <c r="DV45" s="2"/>
      <c r="DW45" s="4"/>
      <c r="DX45" s="1"/>
      <c r="DY45" s="1"/>
      <c r="DZ45" s="4"/>
      <c r="EA45" s="1"/>
      <c r="EB45" s="1"/>
      <c r="EC45" s="4"/>
      <c r="ED45" s="1"/>
      <c r="EE45" s="1"/>
      <c r="EF45" s="4"/>
      <c r="EG45" s="1"/>
      <c r="EH45" s="1"/>
      <c r="EI45" s="4"/>
      <c r="EJ45" s="15"/>
      <c r="EK45" s="15"/>
      <c r="EL45" s="4"/>
      <c r="EM45" s="26">
        <f>((272*52)*T3)*(106.3/81.2)</f>
        <v>18516.098522167485</v>
      </c>
      <c r="EN45" s="26">
        <f>((250*SQRT(52))*T3)*(106.3/81.2)</f>
        <v>2360.0375651590025</v>
      </c>
      <c r="EO45" s="4"/>
      <c r="EP45" s="1"/>
      <c r="EQ45" s="1"/>
      <c r="ER45" s="4"/>
      <c r="ES45" s="1"/>
      <c r="ET45" s="1"/>
      <c r="EU45" s="4"/>
      <c r="EV45" s="1"/>
      <c r="EW45" s="1"/>
      <c r="EX45" s="4"/>
      <c r="EY45" s="120"/>
      <c r="EZ45" s="4"/>
      <c r="FA45" s="4"/>
      <c r="FB45" s="1"/>
      <c r="FC45" s="1"/>
      <c r="FD45" s="4"/>
      <c r="FE45" s="1"/>
      <c r="FF45" s="1"/>
      <c r="FG45" s="4"/>
      <c r="FH45" s="1"/>
      <c r="FI45" s="1"/>
      <c r="FJ45" s="4"/>
      <c r="FK45" s="2"/>
      <c r="FL45" s="4"/>
      <c r="FM45" s="4"/>
      <c r="FN45" s="1"/>
      <c r="FO45" s="1"/>
      <c r="FP45" s="4"/>
      <c r="FQ45" s="1"/>
      <c r="FR45" s="1"/>
      <c r="FS45" s="4"/>
      <c r="FT45" s="1"/>
      <c r="FU45" s="1"/>
      <c r="FV45" s="4"/>
      <c r="FW45" s="2"/>
      <c r="FX45" s="4"/>
      <c r="FY45" s="3"/>
      <c r="FZ45" s="4"/>
      <c r="GA45" s="4"/>
      <c r="GB45" s="4"/>
      <c r="GC45" s="4"/>
    </row>
    <row r="46" spans="1:185" x14ac:dyDescent="0.3">
      <c r="A46" s="4"/>
      <c r="B46" s="3"/>
      <c r="C46" s="3"/>
      <c r="D46" s="3"/>
      <c r="E46" s="46"/>
      <c r="F46" s="3"/>
      <c r="G46" s="3"/>
      <c r="H46" s="3"/>
      <c r="I46" s="3"/>
      <c r="J46" s="4"/>
      <c r="K46" s="3"/>
      <c r="L46" s="3"/>
      <c r="M46" s="4"/>
      <c r="N46" s="3"/>
      <c r="O46" s="3"/>
      <c r="P46" s="4"/>
      <c r="Q46" s="3"/>
      <c r="R46" s="3"/>
      <c r="S46" s="4"/>
      <c r="T46" s="41"/>
      <c r="U46" s="41"/>
      <c r="V46" s="20"/>
      <c r="W46" s="41"/>
      <c r="X46" s="3"/>
      <c r="Y46" s="4"/>
      <c r="Z46" s="3"/>
      <c r="AA46" s="3"/>
      <c r="AB46" s="4"/>
      <c r="AC46" s="3"/>
      <c r="AD46" s="3"/>
      <c r="AE46" s="4"/>
      <c r="AF46" s="3"/>
      <c r="AG46" s="3"/>
      <c r="AH46" s="4"/>
      <c r="AI46" s="3"/>
      <c r="AJ46" s="3"/>
      <c r="AK46" s="4"/>
      <c r="AL46" s="3"/>
      <c r="AM46" s="3"/>
      <c r="AN46" s="4"/>
      <c r="AO46" s="3"/>
      <c r="AP46" s="3"/>
      <c r="AQ46" s="4"/>
      <c r="AR46" s="3"/>
      <c r="AS46" s="3"/>
      <c r="AT46" s="4"/>
      <c r="AU46" s="3"/>
      <c r="AV46" s="3"/>
      <c r="AW46" s="4"/>
      <c r="AX46" s="3"/>
      <c r="AY46" s="3"/>
      <c r="AZ46" s="4"/>
      <c r="BA46" s="3"/>
      <c r="BB46" s="3"/>
      <c r="BC46" s="4"/>
      <c r="BD46" s="3"/>
      <c r="BE46" s="3"/>
      <c r="BF46" s="4"/>
      <c r="BG46" s="3"/>
      <c r="BH46" s="3"/>
      <c r="BI46" s="4"/>
      <c r="BJ46" s="3"/>
      <c r="BK46" s="3"/>
      <c r="BL46" s="4"/>
      <c r="BM46" s="3"/>
      <c r="BN46" s="3"/>
      <c r="BO46" s="4"/>
      <c r="BP46" s="3"/>
      <c r="BQ46" s="3"/>
      <c r="BR46" s="4"/>
      <c r="BS46" s="3"/>
      <c r="BT46" s="3"/>
      <c r="BU46" s="4"/>
      <c r="BV46" s="3"/>
      <c r="BW46" s="3"/>
      <c r="BX46" s="4"/>
      <c r="BY46" s="3"/>
      <c r="BZ46" s="3"/>
      <c r="CA46" s="4"/>
      <c r="CB46" s="3"/>
      <c r="CC46" s="3"/>
      <c r="CD46" s="4"/>
      <c r="CE46" s="3"/>
      <c r="CF46" s="3"/>
      <c r="CG46" s="4"/>
      <c r="CH46" s="3"/>
      <c r="CI46" s="3"/>
      <c r="CJ46" s="4"/>
      <c r="CK46" s="3"/>
      <c r="CL46" s="3"/>
      <c r="CM46" s="4"/>
      <c r="CN46" s="3"/>
      <c r="CO46" s="3"/>
      <c r="CP46" s="4"/>
      <c r="CQ46" s="3"/>
      <c r="CR46" s="4"/>
      <c r="CS46" s="3"/>
      <c r="CT46" s="3"/>
      <c r="CU46" s="3"/>
      <c r="CV46" s="4"/>
      <c r="CW46" s="3"/>
      <c r="CX46" s="3"/>
      <c r="CY46" s="4"/>
      <c r="CZ46" s="3"/>
      <c r="DA46" s="3"/>
      <c r="DB46" s="4"/>
      <c r="DC46" s="3"/>
      <c r="DD46" s="3"/>
      <c r="DE46" s="4"/>
      <c r="DF46" s="3"/>
      <c r="DG46" s="3"/>
      <c r="DH46" s="4"/>
      <c r="DI46" s="3"/>
      <c r="DJ46" s="3"/>
      <c r="DK46" s="4"/>
      <c r="DL46" s="3"/>
      <c r="DM46" s="3"/>
      <c r="DN46" s="4"/>
      <c r="DO46" s="3"/>
      <c r="DP46" s="3"/>
      <c r="DQ46" s="4"/>
      <c r="DR46" s="3"/>
      <c r="DS46" s="3"/>
      <c r="DT46" s="4"/>
      <c r="DU46" s="3"/>
      <c r="DV46" s="3"/>
      <c r="DW46" s="4"/>
      <c r="DX46" s="3"/>
      <c r="DY46" s="3"/>
      <c r="DZ46" s="4"/>
      <c r="EA46" s="3"/>
      <c r="EB46" s="3"/>
      <c r="EC46" s="4"/>
      <c r="ED46" s="3"/>
      <c r="EE46" s="3"/>
      <c r="EF46" s="4"/>
      <c r="EG46" s="3"/>
      <c r="EH46" s="3"/>
      <c r="EI46" s="4"/>
      <c r="EJ46" s="23"/>
      <c r="EK46" s="23"/>
      <c r="EL46" s="4"/>
      <c r="EM46" s="3"/>
      <c r="EN46" s="3"/>
      <c r="EO46" s="4"/>
      <c r="EP46" s="3"/>
      <c r="EQ46" s="3"/>
      <c r="ER46" s="4"/>
      <c r="ES46" s="3"/>
      <c r="ET46" s="3"/>
      <c r="EU46" s="4"/>
      <c r="EV46" s="3"/>
      <c r="EW46" s="3"/>
      <c r="EX46" s="4"/>
      <c r="EY46" s="3"/>
      <c r="EZ46" s="4"/>
      <c r="FA46" s="4"/>
      <c r="FB46" s="3"/>
      <c r="FC46" s="3"/>
      <c r="FD46" s="4"/>
      <c r="FE46" s="3"/>
      <c r="FF46" s="3"/>
      <c r="FG46" s="4"/>
      <c r="FH46" s="3"/>
      <c r="FI46" s="3"/>
      <c r="FJ46" s="4"/>
      <c r="FK46" s="3"/>
      <c r="FL46" s="4"/>
      <c r="FM46" s="4"/>
      <c r="FN46" s="3"/>
      <c r="FO46" s="3"/>
      <c r="FP46" s="4"/>
      <c r="FQ46" s="3"/>
      <c r="FR46" s="3"/>
      <c r="FS46" s="4"/>
      <c r="FT46" s="3"/>
      <c r="FU46" s="3"/>
      <c r="FV46" s="4"/>
      <c r="FW46" s="3"/>
      <c r="FX46" s="4"/>
      <c r="FY46" s="3"/>
      <c r="FZ46" s="4"/>
      <c r="GA46" s="4"/>
      <c r="GB46" s="4"/>
      <c r="GC46" s="4"/>
    </row>
    <row r="47" spans="1:185" ht="28" x14ac:dyDescent="0.3">
      <c r="A47" s="4"/>
      <c r="B47" s="132" t="s">
        <v>102</v>
      </c>
      <c r="C47" s="139" t="s">
        <v>213</v>
      </c>
      <c r="D47" s="11" t="s">
        <v>100</v>
      </c>
      <c r="E47" s="44">
        <v>3</v>
      </c>
      <c r="F47" s="135">
        <v>2003</v>
      </c>
      <c r="G47" s="3"/>
      <c r="H47" s="24">
        <f>(122*Q3)*(105.9/80.9)</f>
        <v>209.20813349814586</v>
      </c>
      <c r="I47" s="24">
        <f>(210*Q3)*(105.9/80.9)</f>
        <v>360.11236093943143</v>
      </c>
      <c r="J47" s="4"/>
      <c r="K47" s="24">
        <f>(515*Q3)*(105.9/80.99)</f>
        <v>882.15131497715765</v>
      </c>
      <c r="L47" s="24">
        <f>(1722*Q3)*(105.9/80.9)</f>
        <v>2952.9213597033377</v>
      </c>
      <c r="M47" s="4"/>
      <c r="N47" s="1"/>
      <c r="O47" s="1"/>
      <c r="P47" s="4"/>
      <c r="Q47" s="26">
        <f>H47+K47</f>
        <v>1091.3594484753035</v>
      </c>
      <c r="R47" s="28"/>
      <c r="S47" s="4"/>
      <c r="T47" s="24">
        <f>(136*Q3)*(105.9/80.9)</f>
        <v>233.21562422744128</v>
      </c>
      <c r="U47" s="24">
        <f>(122*Q3)*(105.9/80.9)</f>
        <v>209.20813349814586</v>
      </c>
      <c r="V47" s="20"/>
      <c r="W47" s="18"/>
      <c r="X47" s="1"/>
      <c r="Y47" s="4"/>
      <c r="Z47" s="1"/>
      <c r="AA47" s="1"/>
      <c r="AB47" s="4"/>
      <c r="AC47" s="1"/>
      <c r="AD47" s="1"/>
      <c r="AE47" s="4"/>
      <c r="AF47" s="24">
        <f>(40*Q3)*(105.9/80.9)</f>
        <v>68.592830655129802</v>
      </c>
      <c r="AG47" s="24">
        <f>(64*Q3)*(105.9/80.9)</f>
        <v>109.74852904820767</v>
      </c>
      <c r="AH47" s="4"/>
      <c r="AI47" s="1"/>
      <c r="AJ47" s="1"/>
      <c r="AK47" s="4"/>
      <c r="AL47" s="1"/>
      <c r="AM47" s="1"/>
      <c r="AN47" s="4"/>
      <c r="AO47" s="1"/>
      <c r="AP47" s="1"/>
      <c r="AQ47" s="4"/>
      <c r="AR47" s="1"/>
      <c r="AS47" s="1"/>
      <c r="AT47" s="4"/>
      <c r="AU47" s="1"/>
      <c r="AV47" s="1"/>
      <c r="AW47" s="4"/>
      <c r="AX47" s="1"/>
      <c r="AY47" s="1"/>
      <c r="AZ47" s="4"/>
      <c r="BA47" s="1"/>
      <c r="BB47" s="1"/>
      <c r="BC47" s="4"/>
      <c r="BD47" s="24">
        <f>(79*Q3)*(105.9/80.9)</f>
        <v>135.47084054388134</v>
      </c>
      <c r="BE47" s="24">
        <f>(252*Q3)*(105.9/80.9)</f>
        <v>432.13483312731768</v>
      </c>
      <c r="BF47" s="4"/>
      <c r="BG47" s="1"/>
      <c r="BH47" s="1"/>
      <c r="BI47" s="4"/>
      <c r="BJ47" s="1"/>
      <c r="BK47" s="1"/>
      <c r="BL47" s="4"/>
      <c r="BM47" s="1"/>
      <c r="BN47" s="1"/>
      <c r="BO47" s="4"/>
      <c r="BP47" s="1"/>
      <c r="BQ47" s="1"/>
      <c r="BR47" s="4"/>
      <c r="BS47" s="1"/>
      <c r="BT47" s="1"/>
      <c r="BU47" s="4"/>
      <c r="BV47" s="1"/>
      <c r="BW47" s="1"/>
      <c r="BX47" s="4"/>
      <c r="BY47" s="1"/>
      <c r="BZ47" s="1"/>
      <c r="CA47" s="4"/>
      <c r="CB47" s="1"/>
      <c r="CC47" s="1"/>
      <c r="CD47" s="4"/>
      <c r="CE47" s="24">
        <f>(29*Q3)*(105.9/80.9)</f>
        <v>49.729802224969099</v>
      </c>
      <c r="CF47" s="24">
        <f>(105*Q3)*(105.9/80.9)</f>
        <v>180.05618046971571</v>
      </c>
      <c r="CG47" s="4"/>
      <c r="CH47" s="26">
        <f>T47+AF47+BD47+CE47</f>
        <v>487.00909765142154</v>
      </c>
      <c r="CI47" s="2"/>
      <c r="CJ47" s="4"/>
      <c r="CK47" s="1"/>
      <c r="CL47" s="1"/>
      <c r="CM47" s="4"/>
      <c r="CN47" s="24">
        <f>(32*Q3)*(105.9/80.9)</f>
        <v>54.874264524103836</v>
      </c>
      <c r="CO47" s="24">
        <f>(92*Q3)*(105.9/80.9)</f>
        <v>157.76351050679853</v>
      </c>
      <c r="CP47" s="25"/>
      <c r="CQ47" s="28"/>
      <c r="CR47" s="25"/>
      <c r="CS47" s="3"/>
      <c r="CT47" s="15"/>
      <c r="CU47" s="15"/>
      <c r="CV47" s="4"/>
      <c r="CW47" s="15"/>
      <c r="CX47" s="15"/>
      <c r="CY47" s="4"/>
      <c r="CZ47" s="15"/>
      <c r="DA47" s="15"/>
      <c r="DB47" s="4"/>
      <c r="DC47" s="15"/>
      <c r="DD47" s="15"/>
      <c r="DE47" s="4"/>
      <c r="DF47" s="15"/>
      <c r="DG47" s="15"/>
      <c r="DH47" s="4"/>
      <c r="DI47" s="2"/>
      <c r="DJ47" s="2"/>
      <c r="DK47" s="4"/>
      <c r="DL47" s="1"/>
      <c r="DM47" s="1"/>
      <c r="DN47" s="4"/>
      <c r="DO47" s="1"/>
      <c r="DP47" s="1"/>
      <c r="DQ47" s="4"/>
      <c r="DR47" s="1"/>
      <c r="DS47" s="1"/>
      <c r="DT47" s="4"/>
      <c r="DU47" s="2"/>
      <c r="DV47" s="2"/>
      <c r="DW47" s="4"/>
      <c r="DX47" s="1"/>
      <c r="DY47" s="1"/>
      <c r="DZ47" s="4"/>
      <c r="EA47" s="1"/>
      <c r="EB47" s="1"/>
      <c r="EC47" s="4"/>
      <c r="ED47" s="1"/>
      <c r="EE47" s="1"/>
      <c r="EF47" s="4"/>
      <c r="EG47" s="1"/>
      <c r="EH47" s="1"/>
      <c r="EI47" s="4"/>
      <c r="EJ47" s="15"/>
      <c r="EK47" s="15"/>
      <c r="EL47" s="4"/>
      <c r="EM47" s="26">
        <f>(8459*Q3)*(105.9/80.9)</f>
        <v>14505.668862793573</v>
      </c>
      <c r="EN47" s="26">
        <f>(7158*Q3)*(105.9/80.9)</f>
        <v>12274.687045735476</v>
      </c>
      <c r="EO47" s="4"/>
      <c r="EP47" s="1"/>
      <c r="EQ47" s="1"/>
      <c r="ER47" s="4"/>
      <c r="ES47" s="1"/>
      <c r="ET47" s="1"/>
      <c r="EU47" s="4"/>
      <c r="EV47" s="1"/>
      <c r="EW47" s="1"/>
      <c r="EX47" s="4"/>
      <c r="EY47" s="120"/>
      <c r="EZ47" s="4"/>
      <c r="FA47" s="4"/>
      <c r="FB47" s="32">
        <f>(13871*Q3)*(27040/18200)</f>
        <v>26996.929142857145</v>
      </c>
      <c r="FC47" s="32">
        <f>(34044*Q3)*(27040/18200)</f>
        <v>66259.350857142854</v>
      </c>
      <c r="FD47" s="4"/>
      <c r="FE47" s="32">
        <f>(26802*Q3)*(27040/18200)</f>
        <v>52164.349714285723</v>
      </c>
      <c r="FF47" s="32">
        <f>(19559*Q3)*(27040/18200)</f>
        <v>38067.402285714292</v>
      </c>
      <c r="FG47" s="4"/>
      <c r="FH47" s="1"/>
      <c r="FI47" s="1"/>
      <c r="FJ47" s="4"/>
      <c r="FK47" s="2"/>
      <c r="FL47" s="4"/>
      <c r="FM47" s="4"/>
      <c r="FN47" s="1"/>
      <c r="FO47" s="1"/>
      <c r="FP47" s="4"/>
      <c r="FQ47" s="1"/>
      <c r="FR47" s="1"/>
      <c r="FS47" s="4"/>
      <c r="FT47" s="1"/>
      <c r="FU47" s="1"/>
      <c r="FV47" s="4"/>
      <c r="FW47" s="2"/>
      <c r="FX47" s="4"/>
      <c r="FY47" s="3"/>
      <c r="FZ47" s="4"/>
      <c r="GA47" s="4"/>
      <c r="GB47" s="4"/>
      <c r="GC47" s="4"/>
    </row>
    <row r="48" spans="1:185" ht="28" x14ac:dyDescent="0.3">
      <c r="A48" s="4"/>
      <c r="B48" s="133"/>
      <c r="C48" s="136"/>
      <c r="D48" s="11" t="s">
        <v>101</v>
      </c>
      <c r="E48" s="44">
        <v>3</v>
      </c>
      <c r="F48" s="136"/>
      <c r="G48" s="3"/>
      <c r="H48" s="24">
        <f>(90*Q3)*(105.9/80.99)</f>
        <v>154.16236572416349</v>
      </c>
      <c r="I48" s="24">
        <f>(184*Q3)*(105.9/80.9)</f>
        <v>315.52702101359705</v>
      </c>
      <c r="J48" s="4"/>
      <c r="K48" s="24">
        <f>(231*Q3)*(105.9/80.9)</f>
        <v>396.12359703337455</v>
      </c>
      <c r="L48" s="24">
        <f>(708*Q3)*(105.9/80.99)</f>
        <v>1212.7439436967527</v>
      </c>
      <c r="M48" s="4"/>
      <c r="N48" s="1"/>
      <c r="O48" s="1"/>
      <c r="P48" s="4"/>
      <c r="Q48" s="26">
        <f>H48+K48</f>
        <v>550.28596275753807</v>
      </c>
      <c r="R48" s="28"/>
      <c r="S48" s="4"/>
      <c r="T48" s="24">
        <f>(112*Q3)*(105.9/80.9)</f>
        <v>192.05992583436341</v>
      </c>
      <c r="U48" s="24">
        <f>(110*Q3)*(105.9/80.9)</f>
        <v>188.63028430160691</v>
      </c>
      <c r="V48" s="20"/>
      <c r="W48" s="1"/>
      <c r="X48" s="1"/>
      <c r="Y48" s="4"/>
      <c r="Z48" s="1"/>
      <c r="AA48" s="1"/>
      <c r="AB48" s="4"/>
      <c r="AC48" s="1"/>
      <c r="AD48" s="1"/>
      <c r="AE48" s="4"/>
      <c r="AF48" s="24">
        <f>(45*Q3)*(105.9/80.9)</f>
        <v>77.166934487021024</v>
      </c>
      <c r="AG48" s="24">
        <f>(58*Q3)*(105.9/80.99)</f>
        <v>99.349080133349815</v>
      </c>
      <c r="AH48" s="4"/>
      <c r="AI48" s="1"/>
      <c r="AJ48" s="1"/>
      <c r="AK48" s="4"/>
      <c r="AL48" s="1"/>
      <c r="AM48" s="1"/>
      <c r="AN48" s="4"/>
      <c r="AO48" s="1"/>
      <c r="AP48" s="1"/>
      <c r="AQ48" s="4"/>
      <c r="AR48" s="1"/>
      <c r="AS48" s="1"/>
      <c r="AT48" s="4"/>
      <c r="AU48" s="1"/>
      <c r="AV48" s="1"/>
      <c r="AW48" s="4"/>
      <c r="AX48" s="1"/>
      <c r="AY48" s="1"/>
      <c r="AZ48" s="4"/>
      <c r="BA48" s="1"/>
      <c r="BB48" s="1"/>
      <c r="BC48" s="4"/>
      <c r="BD48" s="24">
        <f>(342*Q3)*(105.9/80.9)</f>
        <v>586.46870210135978</v>
      </c>
      <c r="BE48" s="24">
        <f>(809*Q3)*(105.9/80.9)</f>
        <v>1387.29</v>
      </c>
      <c r="BF48" s="4"/>
      <c r="BG48" s="1"/>
      <c r="BH48" s="1"/>
      <c r="BI48" s="4"/>
      <c r="BJ48" s="1"/>
      <c r="BK48" s="1"/>
      <c r="BL48" s="4"/>
      <c r="BM48" s="1"/>
      <c r="BN48" s="1"/>
      <c r="BO48" s="4"/>
      <c r="BP48" s="1"/>
      <c r="BQ48" s="1"/>
      <c r="BR48" s="4"/>
      <c r="BS48" s="1"/>
      <c r="BT48" s="1"/>
      <c r="BU48" s="4"/>
      <c r="BV48" s="1"/>
      <c r="BW48" s="1"/>
      <c r="BX48" s="4"/>
      <c r="BY48" s="1"/>
      <c r="BZ48" s="1"/>
      <c r="CA48" s="4"/>
      <c r="CB48" s="1"/>
      <c r="CC48" s="1"/>
      <c r="CD48" s="4"/>
      <c r="CE48" s="24">
        <f>(9*Q3)*(105.9/80.9)</f>
        <v>15.433386897404205</v>
      </c>
      <c r="CF48" s="24">
        <f>(39*Q3)*(105.9/80.9)</f>
        <v>66.878009888751549</v>
      </c>
      <c r="CG48" s="4"/>
      <c r="CH48" s="26">
        <f>T48+AF48+BD48+CE48</f>
        <v>871.12894932014842</v>
      </c>
      <c r="CI48" s="2"/>
      <c r="CJ48" s="4"/>
      <c r="CK48" s="1"/>
      <c r="CL48" s="1"/>
      <c r="CM48" s="4"/>
      <c r="CN48" s="24">
        <f>(15*Q3)*(105.9/80.9)</f>
        <v>25.722311495673676</v>
      </c>
      <c r="CO48" s="24">
        <f>(4*Q3)*(105.9/80.9)</f>
        <v>6.8592830655129795</v>
      </c>
      <c r="CP48" s="25"/>
      <c r="CQ48" s="28"/>
      <c r="CR48" s="25"/>
      <c r="CS48" s="3"/>
      <c r="CT48" s="15"/>
      <c r="CU48" s="15"/>
      <c r="CV48" s="4"/>
      <c r="CW48" s="15"/>
      <c r="CX48" s="15"/>
      <c r="CY48" s="4"/>
      <c r="CZ48" s="15"/>
      <c r="DA48" s="15"/>
      <c r="DB48" s="4"/>
      <c r="DC48" s="15"/>
      <c r="DD48" s="15"/>
      <c r="DE48" s="4"/>
      <c r="DF48" s="15"/>
      <c r="DG48" s="15"/>
      <c r="DH48" s="4"/>
      <c r="DI48" s="2"/>
      <c r="DJ48" s="2"/>
      <c r="DK48" s="4"/>
      <c r="DL48" s="1"/>
      <c r="DM48" s="1"/>
      <c r="DN48" s="4"/>
      <c r="DO48" s="1"/>
      <c r="DP48" s="1"/>
      <c r="DQ48" s="4"/>
      <c r="DR48" s="1"/>
      <c r="DS48" s="1"/>
      <c r="DT48" s="4"/>
      <c r="DU48" s="2"/>
      <c r="DV48" s="2"/>
      <c r="DW48" s="4"/>
      <c r="DX48" s="1"/>
      <c r="DY48" s="1"/>
      <c r="DZ48" s="4"/>
      <c r="EA48" s="1"/>
      <c r="EB48" s="1"/>
      <c r="EC48" s="4"/>
      <c r="ED48" s="1"/>
      <c r="EE48" s="1"/>
      <c r="EF48" s="4"/>
      <c r="EG48" s="1"/>
      <c r="EH48" s="1"/>
      <c r="EI48" s="4"/>
      <c r="EJ48" s="15"/>
      <c r="EK48" s="15"/>
      <c r="EL48" s="4"/>
      <c r="EM48" s="26">
        <f>(9247*Q3)*(105.9/80.9)</f>
        <v>15856.94762669963</v>
      </c>
      <c r="EN48" s="26">
        <f>(7321*Q3)*(105.9/80.9)</f>
        <v>12554.202830655131</v>
      </c>
      <c r="EO48" s="4"/>
      <c r="EP48" s="1"/>
      <c r="EQ48" s="1"/>
      <c r="ER48" s="4"/>
      <c r="ES48" s="1"/>
      <c r="ET48" s="1"/>
      <c r="EU48" s="4"/>
      <c r="EV48" s="1"/>
      <c r="EW48" s="1"/>
      <c r="EX48" s="4"/>
      <c r="EY48" s="120"/>
      <c r="EZ48" s="4"/>
      <c r="FA48" s="4"/>
      <c r="FB48" s="32">
        <f>(41268*Q3)*(27040/18200)</f>
        <v>80319.318857142862</v>
      </c>
      <c r="FC48" s="32">
        <f>(58045*Q3)*(27040/18200)</f>
        <v>112972.15428571429</v>
      </c>
      <c r="FD48" s="4"/>
      <c r="FE48" s="32">
        <f>(21497*Q3)*(27040/18200)</f>
        <v>41839.304000000004</v>
      </c>
      <c r="FF48" s="32">
        <f>(20141*Q3)*(27040/18200)</f>
        <v>39200.140571428579</v>
      </c>
      <c r="FG48" s="4"/>
      <c r="FH48" s="1"/>
      <c r="FI48" s="1"/>
      <c r="FJ48" s="4"/>
      <c r="FK48" s="2"/>
      <c r="FL48" s="4"/>
      <c r="FM48" s="4"/>
      <c r="FN48" s="1"/>
      <c r="FO48" s="1"/>
      <c r="FP48" s="4"/>
      <c r="FQ48" s="1"/>
      <c r="FR48" s="1"/>
      <c r="FS48" s="4"/>
      <c r="FT48" s="1"/>
      <c r="FU48" s="1"/>
      <c r="FV48" s="4"/>
      <c r="FW48" s="2"/>
      <c r="FX48" s="4"/>
      <c r="FY48" s="3"/>
      <c r="FZ48" s="4"/>
      <c r="GA48" s="4"/>
      <c r="GB48" s="4"/>
      <c r="GC48" s="4"/>
    </row>
    <row r="49" spans="1:185" x14ac:dyDescent="0.3">
      <c r="A49" s="4"/>
      <c r="B49" s="3"/>
      <c r="C49" s="3"/>
      <c r="D49" s="3"/>
      <c r="E49" s="46"/>
      <c r="F49" s="3"/>
      <c r="G49" s="3"/>
      <c r="H49" s="3"/>
      <c r="I49" s="3"/>
      <c r="J49" s="4"/>
      <c r="K49" s="3"/>
      <c r="L49" s="3"/>
      <c r="M49" s="4"/>
      <c r="N49" s="3"/>
      <c r="O49" s="3"/>
      <c r="P49" s="4"/>
      <c r="Q49" s="3"/>
      <c r="R49" s="3"/>
      <c r="S49" s="4"/>
      <c r="T49" s="3"/>
      <c r="U49" s="3"/>
      <c r="V49" s="20"/>
      <c r="W49" s="3"/>
      <c r="X49" s="3"/>
      <c r="Y49" s="4"/>
      <c r="Z49" s="3"/>
      <c r="AA49" s="3"/>
      <c r="AB49" s="4"/>
      <c r="AC49" s="3"/>
      <c r="AD49" s="3"/>
      <c r="AE49" s="4"/>
      <c r="AF49" s="3"/>
      <c r="AG49" s="3"/>
      <c r="AH49" s="4"/>
      <c r="AI49" s="3"/>
      <c r="AJ49" s="3"/>
      <c r="AK49" s="4"/>
      <c r="AL49" s="3"/>
      <c r="AM49" s="3"/>
      <c r="AN49" s="4"/>
      <c r="AO49" s="3"/>
      <c r="AP49" s="3"/>
      <c r="AQ49" s="4"/>
      <c r="AR49" s="3"/>
      <c r="AS49" s="3"/>
      <c r="AT49" s="4"/>
      <c r="AU49" s="3"/>
      <c r="AV49" s="3"/>
      <c r="AW49" s="4"/>
      <c r="AX49" s="3"/>
      <c r="AY49" s="3"/>
      <c r="AZ49" s="4"/>
      <c r="BA49" s="3"/>
      <c r="BB49" s="3"/>
      <c r="BC49" s="4"/>
      <c r="BD49" s="3"/>
      <c r="BE49" s="3"/>
      <c r="BF49" s="4"/>
      <c r="BG49" s="3"/>
      <c r="BH49" s="3"/>
      <c r="BI49" s="4"/>
      <c r="BJ49" s="3"/>
      <c r="BK49" s="3"/>
      <c r="BL49" s="4"/>
      <c r="BM49" s="3"/>
      <c r="BN49" s="3"/>
      <c r="BO49" s="4"/>
      <c r="BP49" s="3"/>
      <c r="BQ49" s="3"/>
      <c r="BR49" s="4"/>
      <c r="BS49" s="3"/>
      <c r="BT49" s="3"/>
      <c r="BU49" s="4"/>
      <c r="BV49" s="3"/>
      <c r="BW49" s="3"/>
      <c r="BX49" s="4"/>
      <c r="BY49" s="3"/>
      <c r="BZ49" s="3"/>
      <c r="CA49" s="4"/>
      <c r="CB49" s="3"/>
      <c r="CC49" s="3"/>
      <c r="CD49" s="4"/>
      <c r="CE49" s="3"/>
      <c r="CF49" s="3"/>
      <c r="CG49" s="4"/>
      <c r="CH49" s="3"/>
      <c r="CI49" s="3"/>
      <c r="CJ49" s="4"/>
      <c r="CK49" s="3"/>
      <c r="CL49" s="3"/>
      <c r="CM49" s="4"/>
      <c r="CN49" s="3"/>
      <c r="CO49" s="3"/>
      <c r="CP49" s="4"/>
      <c r="CQ49" s="3"/>
      <c r="CR49" s="4"/>
      <c r="CS49" s="3"/>
      <c r="CT49" s="3"/>
      <c r="CU49" s="3"/>
      <c r="CV49" s="4"/>
      <c r="CW49" s="3"/>
      <c r="CX49" s="3"/>
      <c r="CY49" s="4"/>
      <c r="CZ49" s="3"/>
      <c r="DA49" s="3"/>
      <c r="DB49" s="4"/>
      <c r="DC49" s="3"/>
      <c r="DD49" s="3"/>
      <c r="DE49" s="4"/>
      <c r="DF49" s="3"/>
      <c r="DG49" s="3"/>
      <c r="DH49" s="4"/>
      <c r="DI49" s="3"/>
      <c r="DJ49" s="3"/>
      <c r="DK49" s="4"/>
      <c r="DL49" s="3"/>
      <c r="DM49" s="3"/>
      <c r="DN49" s="4"/>
      <c r="DO49" s="3"/>
      <c r="DP49" s="3"/>
      <c r="DQ49" s="4"/>
      <c r="DR49" s="3"/>
      <c r="DS49" s="3"/>
      <c r="DT49" s="4"/>
      <c r="DU49" s="3"/>
      <c r="DV49" s="3"/>
      <c r="DW49" s="4"/>
      <c r="DX49" s="3"/>
      <c r="DY49" s="3"/>
      <c r="DZ49" s="4"/>
      <c r="EA49" s="3"/>
      <c r="EB49" s="3"/>
      <c r="EC49" s="4"/>
      <c r="ED49" s="3"/>
      <c r="EE49" s="3"/>
      <c r="EF49" s="4"/>
      <c r="EG49" s="3"/>
      <c r="EH49" s="3"/>
      <c r="EI49" s="4"/>
      <c r="EJ49" s="23"/>
      <c r="EK49" s="23"/>
      <c r="EL49" s="4"/>
      <c r="EM49" s="3"/>
      <c r="EN49" s="3"/>
      <c r="EO49" s="4"/>
      <c r="EP49" s="3"/>
      <c r="EQ49" s="3"/>
      <c r="ER49" s="4"/>
      <c r="ES49" s="3"/>
      <c r="ET49" s="3"/>
      <c r="EU49" s="4"/>
      <c r="EV49" s="3"/>
      <c r="EW49" s="3"/>
      <c r="EX49" s="4"/>
      <c r="EY49" s="3"/>
      <c r="EZ49" s="4"/>
      <c r="FA49" s="4"/>
      <c r="FB49" s="3"/>
      <c r="FC49" s="3"/>
      <c r="FD49" s="4"/>
      <c r="FE49" s="3"/>
      <c r="FF49" s="3"/>
      <c r="FG49" s="4"/>
      <c r="FH49" s="3"/>
      <c r="FI49" s="3"/>
      <c r="FJ49" s="4"/>
      <c r="FK49" s="3"/>
      <c r="FL49" s="4"/>
      <c r="FM49" s="4"/>
      <c r="FN49" s="3"/>
      <c r="FO49" s="3"/>
      <c r="FP49" s="4"/>
      <c r="FQ49" s="3"/>
      <c r="FR49" s="3"/>
      <c r="FS49" s="4"/>
      <c r="FT49" s="3"/>
      <c r="FU49" s="3"/>
      <c r="FV49" s="4"/>
      <c r="FW49" s="3"/>
      <c r="FX49" s="4"/>
      <c r="FY49" s="3"/>
      <c r="FZ49" s="4"/>
      <c r="GA49" s="4"/>
      <c r="GB49" s="4"/>
      <c r="GC49" s="4"/>
    </row>
    <row r="50" spans="1:185" ht="28" x14ac:dyDescent="0.3">
      <c r="A50" s="4"/>
      <c r="B50" s="132" t="s">
        <v>104</v>
      </c>
      <c r="C50" s="139" t="s">
        <v>213</v>
      </c>
      <c r="D50" s="11" t="s">
        <v>105</v>
      </c>
      <c r="E50" s="44">
        <v>3</v>
      </c>
      <c r="F50" s="135">
        <v>1999</v>
      </c>
      <c r="G50" s="3"/>
      <c r="H50" s="1"/>
      <c r="I50" s="1"/>
      <c r="J50" s="4"/>
      <c r="K50" s="1"/>
      <c r="L50" s="1"/>
      <c r="M50" s="4"/>
      <c r="N50" s="1"/>
      <c r="O50" s="1"/>
      <c r="P50" s="4"/>
      <c r="Q50" s="2"/>
      <c r="R50" s="2"/>
      <c r="S50" s="4"/>
      <c r="T50" s="1"/>
      <c r="U50" s="1"/>
      <c r="V50" s="20"/>
      <c r="W50" s="1"/>
      <c r="X50" s="1"/>
      <c r="Y50" s="4"/>
      <c r="Z50" s="1"/>
      <c r="AA50" s="1"/>
      <c r="AB50" s="4"/>
      <c r="AC50" s="1"/>
      <c r="AD50" s="1"/>
      <c r="AE50" s="4"/>
      <c r="AF50" s="1"/>
      <c r="AG50" s="1"/>
      <c r="AH50" s="4"/>
      <c r="AI50" s="1"/>
      <c r="AJ50" s="1"/>
      <c r="AK50" s="4"/>
      <c r="AL50" s="1"/>
      <c r="AM50" s="1"/>
      <c r="AN50" s="4"/>
      <c r="AO50" s="1"/>
      <c r="AP50" s="1"/>
      <c r="AQ50" s="4"/>
      <c r="AR50" s="1"/>
      <c r="AS50" s="1"/>
      <c r="AT50" s="4"/>
      <c r="AU50" s="1"/>
      <c r="AV50" s="1"/>
      <c r="AW50" s="4"/>
      <c r="AX50" s="1"/>
      <c r="AY50" s="1"/>
      <c r="AZ50" s="4"/>
      <c r="BA50" s="1"/>
      <c r="BB50" s="1"/>
      <c r="BC50" s="4"/>
      <c r="BD50" s="1"/>
      <c r="BE50" s="1"/>
      <c r="BF50" s="4"/>
      <c r="BG50" s="1"/>
      <c r="BH50" s="1"/>
      <c r="BI50" s="4"/>
      <c r="BJ50" s="1"/>
      <c r="BK50" s="1"/>
      <c r="BL50" s="4"/>
      <c r="BM50" s="1"/>
      <c r="BN50" s="1"/>
      <c r="BO50" s="4"/>
      <c r="BP50" s="1"/>
      <c r="BQ50" s="1"/>
      <c r="BR50" s="4"/>
      <c r="BS50" s="1"/>
      <c r="BT50" s="1"/>
      <c r="BU50" s="4"/>
      <c r="BV50" s="1"/>
      <c r="BW50" s="1"/>
      <c r="BX50" s="4"/>
      <c r="BY50" s="1"/>
      <c r="BZ50" s="1"/>
      <c r="CA50" s="4"/>
      <c r="CB50" s="1"/>
      <c r="CC50" s="1"/>
      <c r="CD50" s="4"/>
      <c r="CE50" s="1"/>
      <c r="CF50" s="1"/>
      <c r="CG50" s="4"/>
      <c r="CH50" s="2"/>
      <c r="CI50" s="2"/>
      <c r="CJ50" s="4"/>
      <c r="CK50" s="1"/>
      <c r="CL50" s="1"/>
      <c r="CM50" s="4"/>
      <c r="CN50" s="1"/>
      <c r="CO50" s="1"/>
      <c r="CP50" s="4"/>
      <c r="CQ50" s="28"/>
      <c r="CR50" s="4"/>
      <c r="CS50" s="3"/>
      <c r="CT50" s="15"/>
      <c r="CU50" s="15"/>
      <c r="CV50" s="4"/>
      <c r="CW50" s="15"/>
      <c r="CX50" s="15"/>
      <c r="CY50" s="4"/>
      <c r="CZ50" s="15"/>
      <c r="DA50" s="15"/>
      <c r="DB50" s="4"/>
      <c r="DC50" s="15"/>
      <c r="DD50" s="15"/>
      <c r="DE50" s="4"/>
      <c r="DF50" s="15"/>
      <c r="DG50" s="15"/>
      <c r="DH50" s="4"/>
      <c r="DI50" s="26">
        <f>((637*52)*Q3)*(105.9/77.8)</f>
        <v>59065.030796915176</v>
      </c>
      <c r="DJ50" s="26">
        <f>((314*SQRT(52))*Q3)*(105.9/77.8)</f>
        <v>4037.5599020222871</v>
      </c>
      <c r="DK50" s="4"/>
      <c r="DL50" s="1"/>
      <c r="DM50" s="1"/>
      <c r="DN50" s="4"/>
      <c r="DO50" s="1"/>
      <c r="DP50" s="1"/>
      <c r="DQ50" s="4"/>
      <c r="DR50" s="1"/>
      <c r="DS50" s="1"/>
      <c r="DT50" s="4"/>
      <c r="DU50" s="2"/>
      <c r="DV50" s="2"/>
      <c r="DW50" s="4"/>
      <c r="DX50" s="1"/>
      <c r="DY50" s="1"/>
      <c r="DZ50" s="4"/>
      <c r="EA50" s="1"/>
      <c r="EB50" s="1"/>
      <c r="EC50" s="4"/>
      <c r="ED50" s="1"/>
      <c r="EE50" s="1"/>
      <c r="EF50" s="4"/>
      <c r="EG50" s="1"/>
      <c r="EH50" s="1"/>
      <c r="EI50" s="4"/>
      <c r="EJ50" s="15"/>
      <c r="EK50" s="15"/>
      <c r="EL50" s="4"/>
      <c r="EM50" s="26">
        <f>((125*52)*Q3)*(105.9/77.8)</f>
        <v>11590.469151670954</v>
      </c>
      <c r="EN50" s="26">
        <f>((79*SQRT(52))*Q3)*(105.9/77.8)</f>
        <v>1015.8192110183461</v>
      </c>
      <c r="EO50" s="4"/>
      <c r="EP50" s="1"/>
      <c r="EQ50" s="1"/>
      <c r="ER50" s="4"/>
      <c r="ES50" s="1"/>
      <c r="ET50" s="1"/>
      <c r="EU50" s="4"/>
      <c r="EV50" s="1"/>
      <c r="EW50" s="1"/>
      <c r="EX50" s="4"/>
      <c r="EY50" s="120"/>
      <c r="EZ50" s="4"/>
      <c r="FA50" s="4"/>
      <c r="FB50" s="1"/>
      <c r="FC50" s="1"/>
      <c r="FD50" s="4"/>
      <c r="FE50" s="1"/>
      <c r="FF50" s="1"/>
      <c r="FG50" s="4"/>
      <c r="FH50" s="1"/>
      <c r="FI50" s="1"/>
      <c r="FJ50" s="4"/>
      <c r="FK50" s="2"/>
      <c r="FL50" s="4"/>
      <c r="FM50" s="4"/>
      <c r="FN50" s="1"/>
      <c r="FO50" s="1"/>
      <c r="FP50" s="4"/>
      <c r="FQ50" s="1"/>
      <c r="FR50" s="1"/>
      <c r="FS50" s="4"/>
      <c r="FT50" s="1"/>
      <c r="FU50" s="1"/>
      <c r="FV50" s="4"/>
      <c r="FW50" s="2"/>
      <c r="FX50" s="4"/>
      <c r="FY50" s="3"/>
      <c r="FZ50" s="4"/>
      <c r="GA50" s="4"/>
      <c r="GB50" s="4"/>
      <c r="GC50" s="4"/>
    </row>
    <row r="51" spans="1:185" ht="28" x14ac:dyDescent="0.3">
      <c r="A51" s="4"/>
      <c r="B51" s="133"/>
      <c r="C51" s="136"/>
      <c r="D51" s="11" t="s">
        <v>107</v>
      </c>
      <c r="E51" s="44">
        <v>3</v>
      </c>
      <c r="F51" s="136"/>
      <c r="G51" s="3"/>
      <c r="H51" s="1"/>
      <c r="I51" s="1"/>
      <c r="J51" s="4"/>
      <c r="K51" s="1"/>
      <c r="L51" s="1"/>
      <c r="M51" s="4"/>
      <c r="N51" s="1"/>
      <c r="O51" s="1"/>
      <c r="P51" s="4"/>
      <c r="Q51" s="2"/>
      <c r="R51" s="2"/>
      <c r="S51" s="4"/>
      <c r="T51" s="1"/>
      <c r="U51" s="1"/>
      <c r="V51" s="20"/>
      <c r="W51" s="1"/>
      <c r="X51" s="1"/>
      <c r="Y51" s="4"/>
      <c r="Z51" s="1"/>
      <c r="AA51" s="1"/>
      <c r="AB51" s="4"/>
      <c r="AC51" s="1"/>
      <c r="AD51" s="1"/>
      <c r="AE51" s="4"/>
      <c r="AF51" s="1"/>
      <c r="AG51" s="1"/>
      <c r="AH51" s="4"/>
      <c r="AI51" s="1"/>
      <c r="AJ51" s="1"/>
      <c r="AK51" s="4"/>
      <c r="AL51" s="1"/>
      <c r="AM51" s="1"/>
      <c r="AN51" s="4"/>
      <c r="AO51" s="1"/>
      <c r="AP51" s="1"/>
      <c r="AQ51" s="4"/>
      <c r="AR51" s="1"/>
      <c r="AS51" s="1"/>
      <c r="AT51" s="4"/>
      <c r="AU51" s="1"/>
      <c r="AV51" s="1"/>
      <c r="AW51" s="4"/>
      <c r="AX51" s="1"/>
      <c r="AY51" s="1"/>
      <c r="AZ51" s="4"/>
      <c r="BA51" s="1"/>
      <c r="BB51" s="1"/>
      <c r="BC51" s="4"/>
      <c r="BD51" s="1"/>
      <c r="BE51" s="1"/>
      <c r="BF51" s="4"/>
      <c r="BG51" s="1"/>
      <c r="BH51" s="1"/>
      <c r="BI51" s="4"/>
      <c r="BJ51" s="1"/>
      <c r="BK51" s="1"/>
      <c r="BL51" s="4"/>
      <c r="BM51" s="1"/>
      <c r="BN51" s="1"/>
      <c r="BO51" s="4"/>
      <c r="BP51" s="1"/>
      <c r="BQ51" s="1"/>
      <c r="BR51" s="4"/>
      <c r="BS51" s="1"/>
      <c r="BT51" s="1"/>
      <c r="BU51" s="4"/>
      <c r="BV51" s="1"/>
      <c r="BW51" s="1"/>
      <c r="BX51" s="4"/>
      <c r="BY51" s="1"/>
      <c r="BZ51" s="1"/>
      <c r="CA51" s="4"/>
      <c r="CB51" s="1"/>
      <c r="CC51" s="1"/>
      <c r="CD51" s="4"/>
      <c r="CE51" s="1"/>
      <c r="CF51" s="1"/>
      <c r="CG51" s="4"/>
      <c r="CH51" s="2"/>
      <c r="CI51" s="2"/>
      <c r="CJ51" s="4"/>
      <c r="CK51" s="1"/>
      <c r="CL51" s="1"/>
      <c r="CM51" s="4"/>
      <c r="CN51" s="1"/>
      <c r="CO51" s="1"/>
      <c r="CP51" s="4"/>
      <c r="CQ51" s="28"/>
      <c r="CR51" s="4"/>
      <c r="CS51" s="3"/>
      <c r="CT51" s="15"/>
      <c r="CU51" s="15"/>
      <c r="CV51" s="4"/>
      <c r="CW51" s="15"/>
      <c r="CX51" s="15"/>
      <c r="CY51" s="4"/>
      <c r="CZ51" s="15"/>
      <c r="DA51" s="15"/>
      <c r="DB51" s="4"/>
      <c r="DC51" s="15"/>
      <c r="DD51" s="15"/>
      <c r="DE51" s="4"/>
      <c r="DF51" s="15"/>
      <c r="DG51" s="15"/>
      <c r="DH51" s="4"/>
      <c r="DI51" s="26">
        <f>((902*52)*Q3)*(105.9/77.8)</f>
        <v>83636.8253984576</v>
      </c>
      <c r="DJ51" s="26">
        <f>((347*SQRT(52))*Q3)*(105.9/77.8)</f>
        <v>4461.8894458653931</v>
      </c>
      <c r="DK51" s="4"/>
      <c r="DL51" s="1"/>
      <c r="DM51" s="1"/>
      <c r="DN51" s="4"/>
      <c r="DO51" s="1"/>
      <c r="DP51" s="1"/>
      <c r="DQ51" s="4"/>
      <c r="DR51" s="1"/>
      <c r="DS51" s="1"/>
      <c r="DT51" s="4"/>
      <c r="DU51" s="2"/>
      <c r="DV51" s="2"/>
      <c r="DW51" s="4"/>
      <c r="DX51" s="1"/>
      <c r="DY51" s="1"/>
      <c r="DZ51" s="4"/>
      <c r="EA51" s="1"/>
      <c r="EB51" s="1"/>
      <c r="EC51" s="4"/>
      <c r="ED51" s="1"/>
      <c r="EE51" s="1"/>
      <c r="EF51" s="4"/>
      <c r="EG51" s="1"/>
      <c r="EH51" s="1"/>
      <c r="EI51" s="4"/>
      <c r="EJ51" s="15"/>
      <c r="EK51" s="15"/>
      <c r="EL51" s="4"/>
      <c r="EM51" s="26">
        <f>((107*52)*Q3)*(105.9/77.8)</f>
        <v>9921.4415938303355</v>
      </c>
      <c r="EN51" s="26">
        <f>((114*SQRT(52))*Q3)*(105.9/77.8)</f>
        <v>1465.86569691255</v>
      </c>
      <c r="EO51" s="4"/>
      <c r="EP51" s="1"/>
      <c r="EQ51" s="1"/>
      <c r="ER51" s="4"/>
      <c r="ES51" s="1"/>
      <c r="ET51" s="1"/>
      <c r="EU51" s="4"/>
      <c r="EV51" s="1"/>
      <c r="EW51" s="1"/>
      <c r="EX51" s="4"/>
      <c r="EY51" s="120"/>
      <c r="EZ51" s="4"/>
      <c r="FA51" s="4"/>
      <c r="FB51" s="1"/>
      <c r="FC51" s="1"/>
      <c r="FD51" s="4"/>
      <c r="FE51" s="1"/>
      <c r="FF51" s="1"/>
      <c r="FG51" s="4"/>
      <c r="FH51" s="1"/>
      <c r="FI51" s="1"/>
      <c r="FJ51" s="4"/>
      <c r="FK51" s="2"/>
      <c r="FL51" s="4"/>
      <c r="FM51" s="4"/>
      <c r="FN51" s="1"/>
      <c r="FO51" s="1"/>
      <c r="FP51" s="4"/>
      <c r="FQ51" s="1"/>
      <c r="FR51" s="1"/>
      <c r="FS51" s="4"/>
      <c r="FT51" s="1"/>
      <c r="FU51" s="1"/>
      <c r="FV51" s="4"/>
      <c r="FW51" s="2"/>
      <c r="FX51" s="4"/>
      <c r="FY51" s="3"/>
      <c r="FZ51" s="4"/>
      <c r="GA51" s="4"/>
      <c r="GB51" s="4"/>
      <c r="GC51" s="4"/>
    </row>
    <row r="52" spans="1:185" ht="28" x14ac:dyDescent="0.3">
      <c r="A52" s="4"/>
      <c r="B52" s="133"/>
      <c r="C52" s="136"/>
      <c r="D52" s="11" t="s">
        <v>106</v>
      </c>
      <c r="E52" s="44">
        <v>3</v>
      </c>
      <c r="F52" s="136"/>
      <c r="G52" s="3"/>
      <c r="H52" s="1"/>
      <c r="I52" s="1"/>
      <c r="J52" s="4"/>
      <c r="K52" s="1"/>
      <c r="L52" s="1"/>
      <c r="M52" s="4"/>
      <c r="N52" s="1"/>
      <c r="O52" s="1"/>
      <c r="P52" s="4"/>
      <c r="Q52" s="2"/>
      <c r="R52" s="2"/>
      <c r="S52" s="4"/>
      <c r="T52" s="1"/>
      <c r="U52" s="1"/>
      <c r="V52" s="20"/>
      <c r="W52" s="1"/>
      <c r="X52" s="1"/>
      <c r="Y52" s="4"/>
      <c r="Z52" s="1"/>
      <c r="AA52" s="1"/>
      <c r="AB52" s="4"/>
      <c r="AC52" s="1"/>
      <c r="AD52" s="1"/>
      <c r="AE52" s="4"/>
      <c r="AF52" s="1"/>
      <c r="AG52" s="1"/>
      <c r="AH52" s="4"/>
      <c r="AI52" s="1"/>
      <c r="AJ52" s="1"/>
      <c r="AK52" s="4"/>
      <c r="AL52" s="1"/>
      <c r="AM52" s="1"/>
      <c r="AN52" s="4"/>
      <c r="AO52" s="1"/>
      <c r="AP52" s="1"/>
      <c r="AQ52" s="4"/>
      <c r="AR52" s="1"/>
      <c r="AS52" s="1"/>
      <c r="AT52" s="4"/>
      <c r="AU52" s="1"/>
      <c r="AV52" s="1"/>
      <c r="AW52" s="4"/>
      <c r="AX52" s="1"/>
      <c r="AY52" s="1"/>
      <c r="AZ52" s="4"/>
      <c r="BA52" s="1"/>
      <c r="BB52" s="1"/>
      <c r="BC52" s="4"/>
      <c r="BD52" s="1"/>
      <c r="BE52" s="1"/>
      <c r="BF52" s="4"/>
      <c r="BG52" s="1"/>
      <c r="BH52" s="1"/>
      <c r="BI52" s="4"/>
      <c r="BJ52" s="1"/>
      <c r="BK52" s="1"/>
      <c r="BL52" s="4"/>
      <c r="BM52" s="1"/>
      <c r="BN52" s="1"/>
      <c r="BO52" s="4"/>
      <c r="BP52" s="1"/>
      <c r="BQ52" s="1"/>
      <c r="BR52" s="4"/>
      <c r="BS52" s="1"/>
      <c r="BT52" s="1"/>
      <c r="BU52" s="4"/>
      <c r="BV52" s="1"/>
      <c r="BW52" s="1"/>
      <c r="BX52" s="4"/>
      <c r="BY52" s="1"/>
      <c r="BZ52" s="1"/>
      <c r="CA52" s="4"/>
      <c r="CB52" s="1"/>
      <c r="CC52" s="1"/>
      <c r="CD52" s="4"/>
      <c r="CE52" s="1"/>
      <c r="CF52" s="1"/>
      <c r="CG52" s="4"/>
      <c r="CH52" s="2"/>
      <c r="CI52" s="2"/>
      <c r="CJ52" s="4"/>
      <c r="CK52" s="1"/>
      <c r="CL52" s="1"/>
      <c r="CM52" s="4"/>
      <c r="CN52" s="1"/>
      <c r="CO52" s="1"/>
      <c r="CP52" s="4"/>
      <c r="CQ52" s="28"/>
      <c r="CR52" s="4"/>
      <c r="CS52" s="3"/>
      <c r="CT52" s="15"/>
      <c r="CU52" s="15"/>
      <c r="CV52" s="4"/>
      <c r="CW52" s="15"/>
      <c r="CX52" s="15"/>
      <c r="CY52" s="4"/>
      <c r="CZ52" s="15"/>
      <c r="DA52" s="15"/>
      <c r="DB52" s="4"/>
      <c r="DC52" s="15"/>
      <c r="DD52" s="15"/>
      <c r="DE52" s="4"/>
      <c r="DF52" s="15"/>
      <c r="DG52" s="15"/>
      <c r="DH52" s="4"/>
      <c r="DI52" s="26">
        <f>((931*52)*Q3)*(105.9/77.8)</f>
        <v>86325.814241645261</v>
      </c>
      <c r="DJ52" s="26">
        <f>((340*SQRT(52))*Q3)*(105.9/77.8)</f>
        <v>4371.8801486865523</v>
      </c>
      <c r="DK52" s="4"/>
      <c r="DL52" s="1"/>
      <c r="DM52" s="1"/>
      <c r="DN52" s="4"/>
      <c r="DO52" s="1"/>
      <c r="DP52" s="1"/>
      <c r="DQ52" s="4"/>
      <c r="DR52" s="1"/>
      <c r="DS52" s="1"/>
      <c r="DT52" s="4"/>
      <c r="DU52" s="2"/>
      <c r="DV52" s="2"/>
      <c r="DW52" s="4"/>
      <c r="DX52" s="1"/>
      <c r="DY52" s="1"/>
      <c r="DZ52" s="4"/>
      <c r="EA52" s="1"/>
      <c r="EB52" s="1"/>
      <c r="EC52" s="4"/>
      <c r="ED52" s="1"/>
      <c r="EE52" s="1"/>
      <c r="EF52" s="4"/>
      <c r="EG52" s="1"/>
      <c r="EH52" s="1"/>
      <c r="EI52" s="4"/>
      <c r="EJ52" s="15"/>
      <c r="EK52" s="15"/>
      <c r="EL52" s="4"/>
      <c r="EM52" s="26">
        <f>((69*52)*Q3)*(105.9/77.8)</f>
        <v>6397.9389717223657</v>
      </c>
      <c r="EN52" s="26">
        <f>((78*SQRT(52))*Q3)*(105.9/77.8)</f>
        <v>1002.9607399927975</v>
      </c>
      <c r="EO52" s="4"/>
      <c r="EP52" s="1"/>
      <c r="EQ52" s="1"/>
      <c r="ER52" s="4"/>
      <c r="ES52" s="1"/>
      <c r="ET52" s="1"/>
      <c r="EU52" s="4"/>
      <c r="EV52" s="1"/>
      <c r="EW52" s="1"/>
      <c r="EX52" s="4"/>
      <c r="EY52" s="120"/>
      <c r="EZ52" s="4"/>
      <c r="FA52" s="4"/>
      <c r="FB52" s="1"/>
      <c r="FC52" s="1"/>
      <c r="FD52" s="4"/>
      <c r="FE52" s="1"/>
      <c r="FF52" s="1"/>
      <c r="FG52" s="4"/>
      <c r="FH52" s="1"/>
      <c r="FI52" s="1"/>
      <c r="FJ52" s="4"/>
      <c r="FK52" s="2"/>
      <c r="FL52" s="4"/>
      <c r="FM52" s="4"/>
      <c r="FN52" s="1"/>
      <c r="FO52" s="1"/>
      <c r="FP52" s="4"/>
      <c r="FQ52" s="1"/>
      <c r="FR52" s="1"/>
      <c r="FS52" s="4"/>
      <c r="FT52" s="1"/>
      <c r="FU52" s="1"/>
      <c r="FV52" s="4"/>
      <c r="FW52" s="2"/>
      <c r="FX52" s="4"/>
      <c r="FY52" s="3"/>
      <c r="FZ52" s="4"/>
      <c r="GA52" s="4"/>
      <c r="GB52" s="4"/>
      <c r="GC52" s="4"/>
    </row>
    <row r="53" spans="1:185" x14ac:dyDescent="0.3">
      <c r="A53" s="4"/>
      <c r="B53" s="3"/>
      <c r="C53" s="3"/>
      <c r="D53" s="3"/>
      <c r="E53" s="46"/>
      <c r="F53" s="3"/>
      <c r="G53" s="3"/>
      <c r="H53" s="3"/>
      <c r="I53" s="3"/>
      <c r="J53" s="4"/>
      <c r="K53" s="3"/>
      <c r="L53" s="3"/>
      <c r="M53" s="4"/>
      <c r="N53" s="3"/>
      <c r="O53" s="3"/>
      <c r="P53" s="4"/>
      <c r="Q53" s="3"/>
      <c r="R53" s="3"/>
      <c r="S53" s="4"/>
      <c r="T53" s="3"/>
      <c r="U53" s="3"/>
      <c r="V53" s="4"/>
      <c r="W53" s="3"/>
      <c r="X53" s="3"/>
      <c r="Y53" s="4"/>
      <c r="Z53" s="3"/>
      <c r="AA53" s="3"/>
      <c r="AB53" s="4"/>
      <c r="AC53" s="3"/>
      <c r="AD53" s="3"/>
      <c r="AE53" s="4"/>
      <c r="AF53" s="3"/>
      <c r="AG53" s="3"/>
      <c r="AH53" s="4"/>
      <c r="AI53" s="3"/>
      <c r="AJ53" s="3"/>
      <c r="AK53" s="4"/>
      <c r="AL53" s="3"/>
      <c r="AM53" s="3"/>
      <c r="AN53" s="4"/>
      <c r="AO53" s="3"/>
      <c r="AP53" s="3"/>
      <c r="AQ53" s="4"/>
      <c r="AR53" s="3"/>
      <c r="AS53" s="3"/>
      <c r="AT53" s="4"/>
      <c r="AU53" s="3"/>
      <c r="AV53" s="3"/>
      <c r="AW53" s="4"/>
      <c r="AX53" s="3"/>
      <c r="AY53" s="3"/>
      <c r="AZ53" s="4"/>
      <c r="BA53" s="3"/>
      <c r="BB53" s="3"/>
      <c r="BC53" s="4"/>
      <c r="BD53" s="3"/>
      <c r="BE53" s="3"/>
      <c r="BF53" s="4"/>
      <c r="BG53" s="3"/>
      <c r="BH53" s="3"/>
      <c r="BI53" s="4"/>
      <c r="BJ53" s="3"/>
      <c r="BK53" s="3"/>
      <c r="BL53" s="4"/>
      <c r="BM53" s="3"/>
      <c r="BN53" s="3"/>
      <c r="BO53" s="4"/>
      <c r="BP53" s="3"/>
      <c r="BQ53" s="3"/>
      <c r="BR53" s="4"/>
      <c r="BS53" s="3"/>
      <c r="BT53" s="3"/>
      <c r="BU53" s="4"/>
      <c r="BV53" s="3"/>
      <c r="BW53" s="3"/>
      <c r="BX53" s="4"/>
      <c r="BY53" s="3"/>
      <c r="BZ53" s="3"/>
      <c r="CA53" s="4"/>
      <c r="CB53" s="3"/>
      <c r="CC53" s="3"/>
      <c r="CD53" s="4"/>
      <c r="CE53" s="3"/>
      <c r="CF53" s="3"/>
      <c r="CG53" s="4"/>
      <c r="CH53" s="3"/>
      <c r="CI53" s="3"/>
      <c r="CJ53" s="4"/>
      <c r="CK53" s="3"/>
      <c r="CL53" s="3"/>
      <c r="CM53" s="4"/>
      <c r="CN53" s="3"/>
      <c r="CO53" s="3"/>
      <c r="CP53" s="4"/>
      <c r="CQ53" s="3"/>
      <c r="CR53" s="4"/>
      <c r="CS53" s="3"/>
      <c r="CT53" s="3"/>
      <c r="CU53" s="3"/>
      <c r="CV53" s="4"/>
      <c r="CW53" s="3"/>
      <c r="CX53" s="3"/>
      <c r="CY53" s="4"/>
      <c r="CZ53" s="3"/>
      <c r="DA53" s="3"/>
      <c r="DB53" s="4"/>
      <c r="DC53" s="3"/>
      <c r="DD53" s="3"/>
      <c r="DE53" s="4"/>
      <c r="DF53" s="3"/>
      <c r="DG53" s="3"/>
      <c r="DH53" s="4"/>
      <c r="DI53" s="3"/>
      <c r="DJ53" s="3"/>
      <c r="DK53" s="4"/>
      <c r="DL53" s="3"/>
      <c r="DM53" s="3"/>
      <c r="DN53" s="4"/>
      <c r="DO53" s="3"/>
      <c r="DP53" s="3"/>
      <c r="DQ53" s="4"/>
      <c r="DR53" s="3"/>
      <c r="DS53" s="3"/>
      <c r="DT53" s="4"/>
      <c r="DU53" s="3"/>
      <c r="DV53" s="3"/>
      <c r="DW53" s="4"/>
      <c r="DX53" s="3"/>
      <c r="DY53" s="3"/>
      <c r="DZ53" s="4"/>
      <c r="EA53" s="3"/>
      <c r="EB53" s="3"/>
      <c r="EC53" s="4"/>
      <c r="ED53" s="3"/>
      <c r="EE53" s="3"/>
      <c r="EF53" s="4"/>
      <c r="EG53" s="3"/>
      <c r="EH53" s="3"/>
      <c r="EI53" s="4"/>
      <c r="EJ53" s="23"/>
      <c r="EK53" s="23"/>
      <c r="EL53" s="4"/>
      <c r="EM53" s="3"/>
      <c r="EN53" s="3"/>
      <c r="EO53" s="4"/>
      <c r="EP53" s="3"/>
      <c r="EQ53" s="3"/>
      <c r="ER53" s="4"/>
      <c r="ES53" s="3"/>
      <c r="ET53" s="3"/>
      <c r="EU53" s="4"/>
      <c r="EV53" s="3"/>
      <c r="EW53" s="3"/>
      <c r="EX53" s="4"/>
      <c r="EY53" s="3"/>
      <c r="EZ53" s="4"/>
      <c r="FA53" s="4"/>
      <c r="FB53" s="3"/>
      <c r="FC53" s="3"/>
      <c r="FD53" s="4"/>
      <c r="FE53" s="3"/>
      <c r="FF53" s="3"/>
      <c r="FG53" s="4"/>
      <c r="FH53" s="3"/>
      <c r="FI53" s="3"/>
      <c r="FJ53" s="4"/>
      <c r="FK53" s="3"/>
      <c r="FL53" s="4"/>
      <c r="FM53" s="4"/>
      <c r="FN53" s="3"/>
      <c r="FO53" s="3"/>
      <c r="FP53" s="4"/>
      <c r="FQ53" s="3"/>
      <c r="FR53" s="3"/>
      <c r="FS53" s="4"/>
      <c r="FT53" s="3"/>
      <c r="FU53" s="3"/>
      <c r="FV53" s="4"/>
      <c r="FW53" s="3"/>
      <c r="FX53" s="4"/>
      <c r="FY53" s="3"/>
      <c r="FZ53" s="4"/>
      <c r="GA53" s="4"/>
      <c r="GB53" s="4"/>
      <c r="GC53" s="4"/>
    </row>
    <row r="54" spans="1:185" ht="28" x14ac:dyDescent="0.3">
      <c r="A54" s="4"/>
      <c r="B54" s="132" t="s">
        <v>110</v>
      </c>
      <c r="C54" s="139" t="s">
        <v>213</v>
      </c>
      <c r="D54" s="11" t="s">
        <v>108</v>
      </c>
      <c r="E54" s="44">
        <v>3</v>
      </c>
      <c r="F54" s="135">
        <v>1998</v>
      </c>
      <c r="G54" s="3"/>
      <c r="H54" s="1"/>
      <c r="I54" s="1"/>
      <c r="J54" s="4"/>
      <c r="K54" s="1"/>
      <c r="L54" s="1"/>
      <c r="M54" s="4"/>
      <c r="N54" s="1"/>
      <c r="O54" s="1"/>
      <c r="P54" s="4"/>
      <c r="Q54" s="26">
        <f>((7*52)*Q3)*(105.9/77.2)</f>
        <v>654.11082901554403</v>
      </c>
      <c r="R54" s="26" t="s">
        <v>79</v>
      </c>
      <c r="S54" s="4"/>
      <c r="T54" s="1"/>
      <c r="U54" s="1"/>
      <c r="V54" s="20"/>
      <c r="W54" s="1"/>
      <c r="X54" s="1"/>
      <c r="Y54" s="4"/>
      <c r="Z54" s="1"/>
      <c r="AA54" s="1"/>
      <c r="AB54" s="4"/>
      <c r="AC54" s="1"/>
      <c r="AD54" s="1"/>
      <c r="AE54" s="4"/>
      <c r="AF54" s="1"/>
      <c r="AG54" s="1"/>
      <c r="AH54" s="4"/>
      <c r="AI54" s="1"/>
      <c r="AJ54" s="1"/>
      <c r="AK54" s="4"/>
      <c r="AL54" s="1"/>
      <c r="AM54" s="1"/>
      <c r="AN54" s="4"/>
      <c r="AO54" s="1"/>
      <c r="AP54" s="1"/>
      <c r="AQ54" s="4"/>
      <c r="AR54" s="1"/>
      <c r="AS54" s="1"/>
      <c r="AT54" s="4"/>
      <c r="AU54" s="1"/>
      <c r="AV54" s="1"/>
      <c r="AW54" s="4"/>
      <c r="AX54" s="1"/>
      <c r="AY54" s="1"/>
      <c r="AZ54" s="4"/>
      <c r="BA54" s="1"/>
      <c r="BB54" s="1"/>
      <c r="BC54" s="4"/>
      <c r="BD54" s="1"/>
      <c r="BE54" s="1"/>
      <c r="BF54" s="4"/>
      <c r="BG54" s="1"/>
      <c r="BH54" s="1"/>
      <c r="BI54" s="4"/>
      <c r="BJ54" s="1"/>
      <c r="BK54" s="1"/>
      <c r="BL54" s="4"/>
      <c r="BM54" s="1"/>
      <c r="BN54" s="1"/>
      <c r="BO54" s="4"/>
      <c r="BP54" s="1"/>
      <c r="BQ54" s="1"/>
      <c r="BR54" s="4"/>
      <c r="BS54" s="1"/>
      <c r="BT54" s="1"/>
      <c r="BU54" s="4"/>
      <c r="BV54" s="1"/>
      <c r="BW54" s="1"/>
      <c r="BX54" s="4"/>
      <c r="BY54" s="1"/>
      <c r="BZ54" s="1"/>
      <c r="CA54" s="4"/>
      <c r="CB54" s="1"/>
      <c r="CC54" s="1"/>
      <c r="CD54" s="4"/>
      <c r="CE54" s="1"/>
      <c r="CF54" s="1"/>
      <c r="CG54" s="4"/>
      <c r="CH54" s="26">
        <f>((44*52)*Q3)*(105.9/77.2)</f>
        <v>4111.5537823834202</v>
      </c>
      <c r="CI54" s="26" t="s">
        <v>79</v>
      </c>
      <c r="CJ54" s="4"/>
      <c r="CK54" s="1"/>
      <c r="CL54" s="1"/>
      <c r="CM54" s="4"/>
      <c r="CN54" s="24">
        <f>((3*52)*Q3)*(105.9/77.2)</f>
        <v>280.33321243523318</v>
      </c>
      <c r="CO54" s="24" t="s">
        <v>79</v>
      </c>
      <c r="CP54" s="25"/>
      <c r="CQ54" s="28"/>
      <c r="CR54" s="25"/>
      <c r="CS54" s="3"/>
      <c r="CT54" s="15"/>
      <c r="CU54" s="15"/>
      <c r="CV54" s="4"/>
      <c r="CW54" s="15"/>
      <c r="CX54" s="15"/>
      <c r="CY54" s="4"/>
      <c r="CZ54" s="15"/>
      <c r="DA54" s="15"/>
      <c r="DB54" s="4"/>
      <c r="DC54" s="15"/>
      <c r="DD54" s="15"/>
      <c r="DE54" s="4"/>
      <c r="DF54" s="15"/>
      <c r="DG54" s="15"/>
      <c r="DH54" s="4"/>
      <c r="DI54" s="26">
        <f>((1064*52)*Q3)*(105.9/77.2)</f>
        <v>99424.8460103627</v>
      </c>
      <c r="DJ54" s="26" t="s">
        <v>79</v>
      </c>
      <c r="DK54" s="4"/>
      <c r="DL54" s="1"/>
      <c r="DM54" s="1"/>
      <c r="DN54" s="4"/>
      <c r="DO54" s="1"/>
      <c r="DP54" s="1"/>
      <c r="DQ54" s="4"/>
      <c r="DR54" s="1"/>
      <c r="DS54" s="1"/>
      <c r="DT54" s="4"/>
      <c r="DU54" s="2"/>
      <c r="DV54" s="2"/>
      <c r="DW54" s="4"/>
      <c r="DX54" s="1"/>
      <c r="DY54" s="1"/>
      <c r="DZ54" s="4"/>
      <c r="EA54" s="1"/>
      <c r="EB54" s="1"/>
      <c r="EC54" s="4"/>
      <c r="ED54" s="1"/>
      <c r="EE54" s="1"/>
      <c r="EF54" s="4"/>
      <c r="EG54" s="1"/>
      <c r="EH54" s="1"/>
      <c r="EI54" s="4"/>
      <c r="EJ54" s="15"/>
      <c r="EK54" s="15"/>
      <c r="EL54" s="4"/>
      <c r="EM54" s="26">
        <f>((100*52)*Q3)*(105.9/77.2)</f>
        <v>9344.4404145077715</v>
      </c>
      <c r="EN54" s="26" t="s">
        <v>79</v>
      </c>
      <c r="EO54" s="4"/>
      <c r="EP54" s="1"/>
      <c r="EQ54" s="1"/>
      <c r="ER54" s="4"/>
      <c r="ES54" s="1"/>
      <c r="ET54" s="1"/>
      <c r="EU54" s="4"/>
      <c r="EV54" s="1"/>
      <c r="EW54" s="1"/>
      <c r="EX54" s="4"/>
      <c r="EY54" s="120"/>
      <c r="EZ54" s="4"/>
      <c r="FA54" s="4"/>
      <c r="FB54" s="1"/>
      <c r="FC54" s="1"/>
      <c r="FD54" s="4"/>
      <c r="FE54" s="1"/>
      <c r="FF54" s="1"/>
      <c r="FG54" s="4"/>
      <c r="FH54" s="1"/>
      <c r="FI54" s="1"/>
      <c r="FJ54" s="4"/>
      <c r="FK54" s="2"/>
      <c r="FL54" s="4"/>
      <c r="FM54" s="4"/>
      <c r="FN54" s="1"/>
      <c r="FO54" s="1"/>
      <c r="FP54" s="4"/>
      <c r="FQ54" s="1"/>
      <c r="FR54" s="1"/>
      <c r="FS54" s="4"/>
      <c r="FT54" s="1"/>
      <c r="FU54" s="1"/>
      <c r="FV54" s="4"/>
      <c r="FW54" s="2"/>
      <c r="FX54" s="4"/>
      <c r="FY54" s="3"/>
      <c r="FZ54" s="4"/>
      <c r="GA54" s="4"/>
      <c r="GB54" s="4"/>
      <c r="GC54" s="4"/>
    </row>
    <row r="55" spans="1:185" ht="28" x14ac:dyDescent="0.3">
      <c r="A55" s="4"/>
      <c r="B55" s="133"/>
      <c r="C55" s="136"/>
      <c r="D55" s="11" t="s">
        <v>109</v>
      </c>
      <c r="E55" s="44">
        <v>3</v>
      </c>
      <c r="F55" s="136"/>
      <c r="G55" s="3"/>
      <c r="H55" s="1"/>
      <c r="I55" s="1"/>
      <c r="J55" s="4"/>
      <c r="K55" s="1"/>
      <c r="L55" s="1"/>
      <c r="M55" s="4"/>
      <c r="N55" s="1"/>
      <c r="O55" s="1"/>
      <c r="P55" s="4"/>
      <c r="Q55" s="26">
        <f>((4*52)*Q3)*(105.9/77.2)</f>
        <v>373.77761658031091</v>
      </c>
      <c r="R55" s="26" t="s">
        <v>79</v>
      </c>
      <c r="S55" s="4"/>
      <c r="T55" s="1"/>
      <c r="U55" s="1"/>
      <c r="V55" s="20"/>
      <c r="W55" s="1"/>
      <c r="X55" s="1"/>
      <c r="Y55" s="4"/>
      <c r="Z55" s="1"/>
      <c r="AA55" s="1"/>
      <c r="AB55" s="4"/>
      <c r="AC55" s="1"/>
      <c r="AD55" s="1"/>
      <c r="AE55" s="4"/>
      <c r="AF55" s="1"/>
      <c r="AG55" s="1"/>
      <c r="AH55" s="4"/>
      <c r="AI55" s="1"/>
      <c r="AJ55" s="1"/>
      <c r="AK55" s="4"/>
      <c r="AL55" s="1"/>
      <c r="AM55" s="1"/>
      <c r="AN55" s="4"/>
      <c r="AO55" s="1"/>
      <c r="AP55" s="1"/>
      <c r="AQ55" s="4"/>
      <c r="AR55" s="1"/>
      <c r="AS55" s="1"/>
      <c r="AT55" s="4"/>
      <c r="AU55" s="1"/>
      <c r="AV55" s="1"/>
      <c r="AW55" s="4"/>
      <c r="AX55" s="1"/>
      <c r="AY55" s="1"/>
      <c r="AZ55" s="4"/>
      <c r="BA55" s="1"/>
      <c r="BB55" s="1"/>
      <c r="BC55" s="4"/>
      <c r="BD55" s="1"/>
      <c r="BE55" s="1"/>
      <c r="BF55" s="4"/>
      <c r="BG55" s="1"/>
      <c r="BH55" s="1"/>
      <c r="BI55" s="4"/>
      <c r="BJ55" s="1"/>
      <c r="BK55" s="1"/>
      <c r="BL55" s="4"/>
      <c r="BM55" s="1"/>
      <c r="BN55" s="1"/>
      <c r="BO55" s="4"/>
      <c r="BP55" s="1"/>
      <c r="BQ55" s="1"/>
      <c r="BR55" s="4"/>
      <c r="BS55" s="1"/>
      <c r="BT55" s="1"/>
      <c r="BU55" s="4"/>
      <c r="BV55" s="1"/>
      <c r="BW55" s="1"/>
      <c r="BX55" s="4"/>
      <c r="BY55" s="1"/>
      <c r="BZ55" s="1"/>
      <c r="CA55" s="4"/>
      <c r="CB55" s="1"/>
      <c r="CC55" s="1"/>
      <c r="CD55" s="4"/>
      <c r="CE55" s="1"/>
      <c r="CF55" s="1"/>
      <c r="CG55" s="4"/>
      <c r="CH55" s="26">
        <f>((19*52)*Q3)*(105.9/77.2)</f>
        <v>1775.4436787564766</v>
      </c>
      <c r="CI55" s="26" t="s">
        <v>79</v>
      </c>
      <c r="CJ55" s="4"/>
      <c r="CK55" s="1"/>
      <c r="CL55" s="1"/>
      <c r="CM55" s="4"/>
      <c r="CN55" s="24">
        <f>((1*52)*Q3)*(105.9/77.2)</f>
        <v>93.444404145077726</v>
      </c>
      <c r="CO55" s="24" t="s">
        <v>79</v>
      </c>
      <c r="CP55" s="25"/>
      <c r="CQ55" s="28"/>
      <c r="CR55" s="25"/>
      <c r="CS55" s="3"/>
      <c r="CT55" s="15"/>
      <c r="CU55" s="15"/>
      <c r="CV55" s="4"/>
      <c r="CW55" s="15"/>
      <c r="CX55" s="15"/>
      <c r="CY55" s="4"/>
      <c r="CZ55" s="15"/>
      <c r="DA55" s="15"/>
      <c r="DB55" s="4"/>
      <c r="DC55" s="15"/>
      <c r="DD55" s="15"/>
      <c r="DE55" s="4"/>
      <c r="DF55" s="15"/>
      <c r="DG55" s="15"/>
      <c r="DH55" s="4"/>
      <c r="DI55" s="26">
        <f>((857*52)*Q3)*(105.9/77.2)</f>
        <v>80081.854352331604</v>
      </c>
      <c r="DJ55" s="26" t="s">
        <v>79</v>
      </c>
      <c r="DK55" s="4"/>
      <c r="DL55" s="1"/>
      <c r="DM55" s="1"/>
      <c r="DN55" s="4"/>
      <c r="DO55" s="1"/>
      <c r="DP55" s="1"/>
      <c r="DQ55" s="4"/>
      <c r="DR55" s="1"/>
      <c r="DS55" s="1"/>
      <c r="DT55" s="4"/>
      <c r="DU55" s="2"/>
      <c r="DV55" s="2"/>
      <c r="DW55" s="4"/>
      <c r="DX55" s="1"/>
      <c r="DY55" s="1"/>
      <c r="DZ55" s="4"/>
      <c r="EA55" s="1"/>
      <c r="EB55" s="1"/>
      <c r="EC55" s="4"/>
      <c r="ED55" s="1"/>
      <c r="EE55" s="1"/>
      <c r="EF55" s="4"/>
      <c r="EG55" s="1"/>
      <c r="EH55" s="1"/>
      <c r="EI55" s="4"/>
      <c r="EJ55" s="15"/>
      <c r="EK55" s="15"/>
      <c r="EL55" s="4"/>
      <c r="EM55" s="26">
        <f>((71*52)*Q3)*(105.9/77.2)</f>
        <v>6634.5526943005189</v>
      </c>
      <c r="EN55" s="26" t="s">
        <v>79</v>
      </c>
      <c r="EO55" s="4"/>
      <c r="EP55" s="1"/>
      <c r="EQ55" s="1"/>
      <c r="ER55" s="4"/>
      <c r="ES55" s="1"/>
      <c r="ET55" s="1"/>
      <c r="EU55" s="4"/>
      <c r="EV55" s="1"/>
      <c r="EW55" s="1"/>
      <c r="EX55" s="4"/>
      <c r="EY55" s="120"/>
      <c r="EZ55" s="4"/>
      <c r="FA55" s="4"/>
      <c r="FB55" s="1"/>
      <c r="FC55" s="1"/>
      <c r="FD55" s="4"/>
      <c r="FE55" s="1"/>
      <c r="FF55" s="1"/>
      <c r="FG55" s="4"/>
      <c r="FH55" s="1"/>
      <c r="FI55" s="1"/>
      <c r="FJ55" s="4"/>
      <c r="FK55" s="2"/>
      <c r="FL55" s="4"/>
      <c r="FM55" s="4"/>
      <c r="FN55" s="1"/>
      <c r="FO55" s="1"/>
      <c r="FP55" s="4"/>
      <c r="FQ55" s="1"/>
      <c r="FR55" s="1"/>
      <c r="FS55" s="4"/>
      <c r="FT55" s="1"/>
      <c r="FU55" s="1"/>
      <c r="FV55" s="4"/>
      <c r="FW55" s="2"/>
      <c r="FX55" s="4"/>
      <c r="FY55" s="3"/>
      <c r="FZ55" s="4"/>
      <c r="GA55" s="4"/>
      <c r="GB55" s="4"/>
      <c r="GC55" s="4"/>
    </row>
    <row r="56" spans="1:185" x14ac:dyDescent="0.3">
      <c r="A56" s="4"/>
      <c r="B56" s="3"/>
      <c r="C56" s="3"/>
      <c r="D56" s="3"/>
      <c r="E56" s="46"/>
      <c r="F56" s="3"/>
      <c r="G56" s="3"/>
      <c r="H56" s="3"/>
      <c r="I56" s="3"/>
      <c r="J56" s="4"/>
      <c r="K56" s="3"/>
      <c r="L56" s="3"/>
      <c r="M56" s="4"/>
      <c r="N56" s="3"/>
      <c r="O56" s="3"/>
      <c r="P56" s="4"/>
      <c r="Q56" s="3"/>
      <c r="R56" s="3"/>
      <c r="S56" s="4"/>
      <c r="T56" s="3"/>
      <c r="U56" s="3"/>
      <c r="V56" s="4"/>
      <c r="W56" s="3"/>
      <c r="X56" s="3"/>
      <c r="Y56" s="4"/>
      <c r="Z56" s="3"/>
      <c r="AA56" s="3"/>
      <c r="AB56" s="4"/>
      <c r="AC56" s="3"/>
      <c r="AD56" s="3"/>
      <c r="AE56" s="4"/>
      <c r="AF56" s="3"/>
      <c r="AG56" s="3"/>
      <c r="AH56" s="4"/>
      <c r="AI56" s="3"/>
      <c r="AJ56" s="3"/>
      <c r="AK56" s="4"/>
      <c r="AL56" s="3"/>
      <c r="AM56" s="3"/>
      <c r="AN56" s="4"/>
      <c r="AO56" s="3"/>
      <c r="AP56" s="3"/>
      <c r="AQ56" s="4"/>
      <c r="AR56" s="3"/>
      <c r="AS56" s="3"/>
      <c r="AT56" s="4"/>
      <c r="AU56" s="3"/>
      <c r="AV56" s="3"/>
      <c r="AW56" s="4"/>
      <c r="AX56" s="3"/>
      <c r="AY56" s="3"/>
      <c r="AZ56" s="4"/>
      <c r="BA56" s="3"/>
      <c r="BB56" s="3"/>
      <c r="BC56" s="4"/>
      <c r="BD56" s="3"/>
      <c r="BE56" s="3"/>
      <c r="BF56" s="4"/>
      <c r="BG56" s="3"/>
      <c r="BH56" s="3"/>
      <c r="BI56" s="4"/>
      <c r="BJ56" s="3"/>
      <c r="BK56" s="3"/>
      <c r="BL56" s="4"/>
      <c r="BM56" s="3"/>
      <c r="BN56" s="3"/>
      <c r="BO56" s="4"/>
      <c r="BP56" s="3"/>
      <c r="BQ56" s="3"/>
      <c r="BR56" s="4"/>
      <c r="BS56" s="3"/>
      <c r="BT56" s="3"/>
      <c r="BU56" s="4"/>
      <c r="BV56" s="3"/>
      <c r="BW56" s="3"/>
      <c r="BX56" s="4"/>
      <c r="BY56" s="3"/>
      <c r="BZ56" s="3"/>
      <c r="CA56" s="4"/>
      <c r="CB56" s="3"/>
      <c r="CC56" s="3"/>
      <c r="CD56" s="4"/>
      <c r="CE56" s="3"/>
      <c r="CF56" s="3"/>
      <c r="CG56" s="4"/>
      <c r="CH56" s="3"/>
      <c r="CI56" s="3"/>
      <c r="CJ56" s="4"/>
      <c r="CK56" s="3"/>
      <c r="CL56" s="3"/>
      <c r="CM56" s="4"/>
      <c r="CN56" s="3"/>
      <c r="CO56" s="3"/>
      <c r="CP56" s="4"/>
      <c r="CQ56" s="3"/>
      <c r="CR56" s="4"/>
      <c r="CS56" s="3"/>
      <c r="CT56" s="3"/>
      <c r="CU56" s="3"/>
      <c r="CV56" s="4"/>
      <c r="CW56" s="3"/>
      <c r="CX56" s="3"/>
      <c r="CY56" s="4"/>
      <c r="CZ56" s="3"/>
      <c r="DA56" s="3"/>
      <c r="DB56" s="4"/>
      <c r="DC56" s="3"/>
      <c r="DD56" s="3"/>
      <c r="DE56" s="4"/>
      <c r="DF56" s="3"/>
      <c r="DG56" s="3"/>
      <c r="DH56" s="4"/>
      <c r="DI56" s="3"/>
      <c r="DJ56" s="3"/>
      <c r="DK56" s="4"/>
      <c r="DL56" s="3"/>
      <c r="DM56" s="3"/>
      <c r="DN56" s="4"/>
      <c r="DO56" s="3"/>
      <c r="DP56" s="3"/>
      <c r="DQ56" s="4"/>
      <c r="DR56" s="3"/>
      <c r="DS56" s="3"/>
      <c r="DT56" s="4"/>
      <c r="DU56" s="3"/>
      <c r="DV56" s="3"/>
      <c r="DW56" s="4"/>
      <c r="DX56" s="3"/>
      <c r="DY56" s="3"/>
      <c r="DZ56" s="4"/>
      <c r="EA56" s="3"/>
      <c r="EB56" s="3"/>
      <c r="EC56" s="4"/>
      <c r="ED56" s="3"/>
      <c r="EE56" s="3"/>
      <c r="EF56" s="4"/>
      <c r="EG56" s="3"/>
      <c r="EH56" s="3"/>
      <c r="EI56" s="4"/>
      <c r="EJ56" s="23"/>
      <c r="EK56" s="23"/>
      <c r="EL56" s="4"/>
      <c r="EM56" s="3"/>
      <c r="EN56" s="3"/>
      <c r="EO56" s="4"/>
      <c r="EP56" s="3"/>
      <c r="EQ56" s="3"/>
      <c r="ER56" s="4"/>
      <c r="ES56" s="3"/>
      <c r="ET56" s="3"/>
      <c r="EU56" s="4"/>
      <c r="EV56" s="3"/>
      <c r="EW56" s="3"/>
      <c r="EX56" s="4"/>
      <c r="EY56" s="3"/>
      <c r="EZ56" s="4"/>
      <c r="FA56" s="4"/>
      <c r="FB56" s="3"/>
      <c r="FC56" s="3"/>
      <c r="FD56" s="4"/>
      <c r="FE56" s="3"/>
      <c r="FF56" s="3"/>
      <c r="FG56" s="4"/>
      <c r="FH56" s="3"/>
      <c r="FI56" s="3"/>
      <c r="FJ56" s="4"/>
      <c r="FK56" s="3"/>
      <c r="FL56" s="4"/>
      <c r="FM56" s="4"/>
      <c r="FN56" s="3"/>
      <c r="FO56" s="3"/>
      <c r="FP56" s="4"/>
      <c r="FQ56" s="3"/>
      <c r="FR56" s="3"/>
      <c r="FS56" s="4"/>
      <c r="FT56" s="3"/>
      <c r="FU56" s="3"/>
      <c r="FV56" s="4"/>
      <c r="FW56" s="3"/>
      <c r="FX56" s="4"/>
      <c r="FY56" s="3"/>
      <c r="FZ56" s="4"/>
      <c r="GA56" s="4"/>
      <c r="GB56" s="4"/>
      <c r="GC56" s="4"/>
    </row>
    <row r="57" spans="1:185" ht="56" x14ac:dyDescent="0.3">
      <c r="A57" s="4"/>
      <c r="B57" s="98" t="s">
        <v>111</v>
      </c>
      <c r="C57" s="102" t="s">
        <v>213</v>
      </c>
      <c r="D57" s="11" t="s">
        <v>113</v>
      </c>
      <c r="E57" s="44">
        <v>3</v>
      </c>
      <c r="F57" s="38">
        <v>1997</v>
      </c>
      <c r="G57" s="3"/>
      <c r="H57" s="24">
        <f>((93.6*52)*Q3)*(105.9/76.1)</f>
        <v>8872.8224546649162</v>
      </c>
      <c r="I57" s="24" t="s">
        <v>79</v>
      </c>
      <c r="J57" s="4"/>
      <c r="K57" s="1"/>
      <c r="L57" s="1"/>
      <c r="M57" s="4"/>
      <c r="N57" s="24">
        <f>((25.96*52)*Q3)*(105.9/76.1)</f>
        <v>2460.8810996057823</v>
      </c>
      <c r="O57" s="24" t="s">
        <v>79</v>
      </c>
      <c r="P57" s="4"/>
      <c r="Q57" s="26">
        <f>((7*52)*Q3)*(105.9/76.1)</f>
        <v>663.56578186596596</v>
      </c>
      <c r="R57" s="26" t="s">
        <v>79</v>
      </c>
      <c r="S57" s="4"/>
      <c r="T57" s="24">
        <f>((23.19*52)*Q3)*(105.9/76.1)</f>
        <v>2198.2986402102506</v>
      </c>
      <c r="U57" s="24" t="s">
        <v>79</v>
      </c>
      <c r="V57" s="20"/>
      <c r="W57" s="24">
        <f>((0.28*52)*Q3)*(105.9/76.1)</f>
        <v>26.542631274638641</v>
      </c>
      <c r="X57" s="24" t="s">
        <v>79</v>
      </c>
      <c r="Y57" s="4"/>
      <c r="Z57" s="24">
        <f>((2.82*52)*Q3)*(105.9/76.1)</f>
        <v>267.32221498028912</v>
      </c>
      <c r="AA57" s="24" t="s">
        <v>79</v>
      </c>
      <c r="AB57" s="4"/>
      <c r="AC57" s="1"/>
      <c r="AD57" s="1"/>
      <c r="AE57" s="4"/>
      <c r="AF57" s="1"/>
      <c r="AG57" s="1"/>
      <c r="AH57" s="4"/>
      <c r="AI57" s="1"/>
      <c r="AJ57" s="1"/>
      <c r="AK57" s="4"/>
      <c r="AL57" s="24">
        <f>((4.86*52)*Q3)*(105.9/76.1)</f>
        <v>460.7042428383707</v>
      </c>
      <c r="AM57" s="24" t="s">
        <v>79</v>
      </c>
      <c r="AN57" s="4"/>
      <c r="AO57" s="1"/>
      <c r="AP57" s="1"/>
      <c r="AQ57" s="4"/>
      <c r="AR57" s="1"/>
      <c r="AS57" s="1"/>
      <c r="AT57" s="4"/>
      <c r="AU57" s="24">
        <f>((41.2*52)*Q3)*(105.9/76.1)</f>
        <v>3905.5586018396857</v>
      </c>
      <c r="AV57" s="24" t="s">
        <v>79</v>
      </c>
      <c r="AW57" s="4"/>
      <c r="AX57" s="1"/>
      <c r="AY57" s="1"/>
      <c r="AZ57" s="4"/>
      <c r="BA57" s="1"/>
      <c r="BB57" s="1"/>
      <c r="BC57" s="4"/>
      <c r="BD57" s="1"/>
      <c r="BE57" s="1"/>
      <c r="BF57" s="4"/>
      <c r="BG57" s="1"/>
      <c r="BH57" s="1"/>
      <c r="BI57" s="4"/>
      <c r="BJ57" s="1"/>
      <c r="BK57" s="1"/>
      <c r="BL57" s="4"/>
      <c r="BM57" s="1"/>
      <c r="BN57" s="1"/>
      <c r="BO57" s="4"/>
      <c r="BP57" s="24">
        <f>((0.25*52)*Q3)*(105.9/76.1)</f>
        <v>23.698777923784501</v>
      </c>
      <c r="BQ57" s="24" t="s">
        <v>79</v>
      </c>
      <c r="BR57" s="4"/>
      <c r="BS57" s="1"/>
      <c r="BT57" s="1"/>
      <c r="BU57" s="4"/>
      <c r="BV57" s="1"/>
      <c r="BW57" s="1"/>
      <c r="BX57" s="4"/>
      <c r="BY57" s="1"/>
      <c r="BZ57" s="1"/>
      <c r="CA57" s="4"/>
      <c r="CB57" s="1"/>
      <c r="CC57" s="1"/>
      <c r="CD57" s="4"/>
      <c r="CE57" s="1"/>
      <c r="CF57" s="1"/>
      <c r="CG57" s="4"/>
      <c r="CH57" s="26">
        <f>((22*52)*Q3)*(105.9/76.1)</f>
        <v>2085.4924572930358</v>
      </c>
      <c r="CI57" s="26" t="s">
        <v>79</v>
      </c>
      <c r="CJ57" s="4"/>
      <c r="CK57" s="1"/>
      <c r="CL57" s="1"/>
      <c r="CM57" s="4"/>
      <c r="CN57" s="1"/>
      <c r="CO57" s="1"/>
      <c r="CP57" s="4"/>
      <c r="CQ57" s="28"/>
      <c r="CR57" s="4"/>
      <c r="CS57" s="3"/>
      <c r="CT57" s="15"/>
      <c r="CU57" s="15"/>
      <c r="CV57" s="4"/>
      <c r="CW57" s="15"/>
      <c r="CX57" s="15"/>
      <c r="CY57" s="4"/>
      <c r="CZ57" s="15"/>
      <c r="DA57" s="15"/>
      <c r="DB57" s="4"/>
      <c r="DC57" s="15"/>
      <c r="DD57" s="15"/>
      <c r="DE57" s="4"/>
      <c r="DF57" s="15"/>
      <c r="DG57" s="15"/>
      <c r="DH57" s="4"/>
      <c r="DI57" s="26">
        <f>((588*52)*Q3)*(105.9/76.1)</f>
        <v>55739.525676741148</v>
      </c>
      <c r="DJ57" s="26" t="s">
        <v>79</v>
      </c>
      <c r="DK57" s="4"/>
      <c r="DL57" s="1"/>
      <c r="DM57" s="1"/>
      <c r="DN57" s="4"/>
      <c r="DO57" s="1"/>
      <c r="DP57" s="1"/>
      <c r="DQ57" s="4"/>
      <c r="DR57" s="1"/>
      <c r="DS57" s="1"/>
      <c r="DT57" s="4"/>
      <c r="DU57" s="2"/>
      <c r="DV57" s="2"/>
      <c r="DW57" s="4"/>
      <c r="DX57" s="24">
        <f>((168.73*52)*Q3)*(105.9/76.1)</f>
        <v>15994.779196320633</v>
      </c>
      <c r="DY57" s="24" t="s">
        <v>79</v>
      </c>
      <c r="DZ57" s="25"/>
      <c r="EA57" s="24">
        <f>((74.01*52)*Q3)*(105.9/76.1)</f>
        <v>7015.7862165571642</v>
      </c>
      <c r="EB57" s="24" t="s">
        <v>79</v>
      </c>
      <c r="EC57" s="25"/>
      <c r="ED57" s="24">
        <f>((9.14*52)*Q3)*(105.9/76.1)</f>
        <v>866.42732089356127</v>
      </c>
      <c r="EE57" s="24" t="s">
        <v>79</v>
      </c>
      <c r="EF57" s="25"/>
      <c r="EG57" s="24">
        <f>((7.8*52)*Q3)*(105.9/76.1)</f>
        <v>739.40187122207635</v>
      </c>
      <c r="EH57" s="24" t="s">
        <v>79</v>
      </c>
      <c r="EI57" s="25"/>
      <c r="EJ57" s="32">
        <f>((29.15*52)*Q3)*(105.9/76.1)</f>
        <v>2763.2775059132728</v>
      </c>
      <c r="EK57" s="32" t="s">
        <v>79</v>
      </c>
      <c r="EL57" s="4"/>
      <c r="EM57" s="26">
        <f>((75*52)*Q3)*(105.9/76.1)</f>
        <v>7109.6333771353493</v>
      </c>
      <c r="EN57" s="26" t="s">
        <v>79</v>
      </c>
      <c r="EO57" s="4"/>
      <c r="EP57" s="1"/>
      <c r="EQ57" s="1"/>
      <c r="ER57" s="4"/>
      <c r="ES57" s="1"/>
      <c r="ET57" s="1"/>
      <c r="EU57" s="4"/>
      <c r="EV57" s="1"/>
      <c r="EW57" s="1"/>
      <c r="EX57" s="4"/>
      <c r="EY57" s="120"/>
      <c r="EZ57" s="4"/>
      <c r="FA57" s="4"/>
      <c r="FB57" s="1"/>
      <c r="FC57" s="1"/>
      <c r="FD57" s="4"/>
      <c r="FE57" s="1"/>
      <c r="FF57" s="1"/>
      <c r="FG57" s="4"/>
      <c r="FH57" s="1"/>
      <c r="FI57" s="1"/>
      <c r="FJ57" s="4"/>
      <c r="FK57" s="2"/>
      <c r="FL57" s="4"/>
      <c r="FM57" s="4"/>
      <c r="FN57" s="1"/>
      <c r="FO57" s="1"/>
      <c r="FP57" s="4"/>
      <c r="FQ57" s="1"/>
      <c r="FR57" s="1"/>
      <c r="FS57" s="4"/>
      <c r="FT57" s="1"/>
      <c r="FU57" s="1"/>
      <c r="FV57" s="4"/>
      <c r="FW57" s="2"/>
      <c r="FX57" s="4"/>
      <c r="FY57" s="3"/>
      <c r="FZ57" s="4"/>
      <c r="GA57" s="4"/>
      <c r="GB57" s="4"/>
      <c r="GC57" s="4"/>
    </row>
    <row r="58" spans="1:185" x14ac:dyDescent="0.3">
      <c r="A58" s="4"/>
      <c r="B58" s="88"/>
      <c r="C58" s="88"/>
      <c r="D58" s="89"/>
      <c r="E58" s="90"/>
      <c r="F58" s="23"/>
      <c r="G58" s="3"/>
      <c r="H58" s="31"/>
      <c r="I58" s="31"/>
      <c r="J58" s="4"/>
      <c r="K58" s="3"/>
      <c r="L58" s="3"/>
      <c r="M58" s="4"/>
      <c r="N58" s="31"/>
      <c r="O58" s="31"/>
      <c r="P58" s="4"/>
      <c r="Q58" s="31"/>
      <c r="R58" s="31"/>
      <c r="S58" s="4"/>
      <c r="T58" s="31"/>
      <c r="U58" s="31"/>
      <c r="V58" s="4"/>
      <c r="W58" s="31"/>
      <c r="X58" s="31"/>
      <c r="Y58" s="4"/>
      <c r="Z58" s="31"/>
      <c r="AA58" s="31"/>
      <c r="AB58" s="4"/>
      <c r="AC58" s="3"/>
      <c r="AD58" s="3"/>
      <c r="AE58" s="4"/>
      <c r="AF58" s="3"/>
      <c r="AG58" s="3"/>
      <c r="AH58" s="4"/>
      <c r="AI58" s="3"/>
      <c r="AJ58" s="3"/>
      <c r="AK58" s="4"/>
      <c r="AL58" s="31"/>
      <c r="AM58" s="31"/>
      <c r="AN58" s="4"/>
      <c r="AO58" s="3"/>
      <c r="AP58" s="3"/>
      <c r="AQ58" s="4"/>
      <c r="AR58" s="3"/>
      <c r="AS58" s="3"/>
      <c r="AT58" s="4"/>
      <c r="AU58" s="31"/>
      <c r="AV58" s="31"/>
      <c r="AW58" s="4"/>
      <c r="AX58" s="3"/>
      <c r="AY58" s="3"/>
      <c r="AZ58" s="4"/>
      <c r="BA58" s="3"/>
      <c r="BB58" s="3"/>
      <c r="BC58" s="4"/>
      <c r="BD58" s="3"/>
      <c r="BE58" s="3"/>
      <c r="BF58" s="4"/>
      <c r="BG58" s="3"/>
      <c r="BH58" s="3"/>
      <c r="BI58" s="4"/>
      <c r="BJ58" s="3"/>
      <c r="BK58" s="3"/>
      <c r="BL58" s="4"/>
      <c r="BM58" s="3"/>
      <c r="BN58" s="3"/>
      <c r="BO58" s="4"/>
      <c r="BP58" s="31"/>
      <c r="BQ58" s="31"/>
      <c r="BR58" s="4"/>
      <c r="BS58" s="3"/>
      <c r="BT58" s="3"/>
      <c r="BU58" s="4"/>
      <c r="BV58" s="3"/>
      <c r="BW58" s="3"/>
      <c r="BX58" s="4"/>
      <c r="BY58" s="3"/>
      <c r="BZ58" s="3"/>
      <c r="CA58" s="4"/>
      <c r="CB58" s="3"/>
      <c r="CC58" s="3"/>
      <c r="CD58" s="4"/>
      <c r="CE58" s="3"/>
      <c r="CF58" s="3"/>
      <c r="CG58" s="4"/>
      <c r="CH58" s="31"/>
      <c r="CI58" s="31"/>
      <c r="CJ58" s="4"/>
      <c r="CK58" s="3"/>
      <c r="CL58" s="3"/>
      <c r="CM58" s="4"/>
      <c r="CN58" s="3"/>
      <c r="CO58" s="3"/>
      <c r="CP58" s="4"/>
      <c r="CQ58" s="3"/>
      <c r="CR58" s="4"/>
      <c r="CS58" s="3"/>
      <c r="CT58" s="3"/>
      <c r="CU58" s="3"/>
      <c r="CV58" s="4"/>
      <c r="CW58" s="3"/>
      <c r="CX58" s="3"/>
      <c r="CY58" s="4"/>
      <c r="CZ58" s="3"/>
      <c r="DA58" s="3"/>
      <c r="DB58" s="4"/>
      <c r="DC58" s="3"/>
      <c r="DD58" s="3"/>
      <c r="DE58" s="4"/>
      <c r="DF58" s="3"/>
      <c r="DG58" s="3"/>
      <c r="DH58" s="4"/>
      <c r="DI58" s="31"/>
      <c r="DJ58" s="31"/>
      <c r="DK58" s="4"/>
      <c r="DL58" s="3"/>
      <c r="DM58" s="3"/>
      <c r="DN58" s="4"/>
      <c r="DO58" s="3"/>
      <c r="DP58" s="3"/>
      <c r="DQ58" s="4"/>
      <c r="DR58" s="3"/>
      <c r="DS58" s="3"/>
      <c r="DT58" s="4"/>
      <c r="DU58" s="3"/>
      <c r="DV58" s="3"/>
      <c r="DW58" s="4"/>
      <c r="DX58" s="31"/>
      <c r="DY58" s="31"/>
      <c r="DZ58" s="4"/>
      <c r="EA58" s="31"/>
      <c r="EB58" s="31"/>
      <c r="EC58" s="4"/>
      <c r="ED58" s="31"/>
      <c r="EE58" s="31"/>
      <c r="EF58" s="4"/>
      <c r="EG58" s="31"/>
      <c r="EH58" s="31"/>
      <c r="EI58" s="4"/>
      <c r="EJ58" s="31"/>
      <c r="EK58" s="31"/>
      <c r="EL58" s="4"/>
      <c r="EM58" s="31"/>
      <c r="EN58" s="31"/>
      <c r="EO58" s="4"/>
      <c r="EP58" s="3"/>
      <c r="EQ58" s="3"/>
      <c r="ER58" s="4"/>
      <c r="ES58" s="3"/>
      <c r="ET58" s="3"/>
      <c r="EU58" s="4"/>
      <c r="EV58" s="3"/>
      <c r="EW58" s="3"/>
      <c r="EX58" s="4"/>
      <c r="EY58" s="3"/>
      <c r="EZ58" s="4"/>
      <c r="FA58" s="4"/>
      <c r="FB58" s="3"/>
      <c r="FC58" s="3"/>
      <c r="FD58" s="4"/>
      <c r="FE58" s="3"/>
      <c r="FF58" s="3"/>
      <c r="FG58" s="4"/>
      <c r="FH58" s="3"/>
      <c r="FI58" s="3"/>
      <c r="FJ58" s="4"/>
      <c r="FK58" s="3"/>
      <c r="FL58" s="4"/>
      <c r="FM58" s="4"/>
      <c r="FN58" s="3"/>
      <c r="FO58" s="3"/>
      <c r="FP58" s="4"/>
      <c r="FQ58" s="3"/>
      <c r="FR58" s="3"/>
      <c r="FS58" s="4"/>
      <c r="FT58" s="3"/>
      <c r="FU58" s="3"/>
      <c r="FV58" s="4"/>
      <c r="FW58" s="3"/>
      <c r="FX58" s="4"/>
      <c r="FY58" s="3"/>
      <c r="FZ58" s="4"/>
      <c r="GA58" s="4"/>
      <c r="GB58" s="4"/>
      <c r="GC58" s="4"/>
    </row>
    <row r="59" spans="1:185" ht="28" x14ac:dyDescent="0.3">
      <c r="A59" s="4"/>
      <c r="B59" s="132" t="s">
        <v>200</v>
      </c>
      <c r="C59" s="139" t="s">
        <v>220</v>
      </c>
      <c r="D59" s="11" t="s">
        <v>198</v>
      </c>
      <c r="E59" s="44">
        <v>3</v>
      </c>
      <c r="F59" s="135">
        <v>1998</v>
      </c>
      <c r="G59" s="3"/>
      <c r="H59" s="24"/>
      <c r="I59" s="24"/>
      <c r="J59" s="4"/>
      <c r="K59" s="1"/>
      <c r="L59" s="1"/>
      <c r="M59" s="4"/>
      <c r="N59" s="24"/>
      <c r="O59" s="24"/>
      <c r="P59" s="4"/>
      <c r="Q59" s="26"/>
      <c r="R59" s="26"/>
      <c r="S59" s="4"/>
      <c r="T59" s="24"/>
      <c r="U59" s="24"/>
      <c r="V59" s="20"/>
      <c r="W59" s="24"/>
      <c r="X59" s="24"/>
      <c r="Y59" s="4"/>
      <c r="Z59" s="24"/>
      <c r="AA59" s="24"/>
      <c r="AB59" s="4"/>
      <c r="AC59" s="1"/>
      <c r="AD59" s="1"/>
      <c r="AE59" s="4"/>
      <c r="AF59" s="1"/>
      <c r="AG59" s="1"/>
      <c r="AH59" s="4"/>
      <c r="AI59" s="1"/>
      <c r="AJ59" s="1"/>
      <c r="AK59" s="4"/>
      <c r="AL59" s="24"/>
      <c r="AM59" s="24"/>
      <c r="AN59" s="4"/>
      <c r="AO59" s="1"/>
      <c r="AP59" s="1"/>
      <c r="AQ59" s="4"/>
      <c r="AR59" s="1"/>
      <c r="AS59" s="1"/>
      <c r="AT59" s="4"/>
      <c r="AU59" s="24"/>
      <c r="AV59" s="24"/>
      <c r="AW59" s="4"/>
      <c r="AX59" s="1"/>
      <c r="AY59" s="1"/>
      <c r="AZ59" s="4"/>
      <c r="BA59" s="1"/>
      <c r="BB59" s="1"/>
      <c r="BC59" s="4"/>
      <c r="BD59" s="1"/>
      <c r="BE59" s="1"/>
      <c r="BF59" s="4"/>
      <c r="BG59" s="1"/>
      <c r="BH59" s="1"/>
      <c r="BI59" s="4"/>
      <c r="BJ59" s="1"/>
      <c r="BK59" s="1"/>
      <c r="BL59" s="4"/>
      <c r="BM59" s="1"/>
      <c r="BN59" s="1"/>
      <c r="BO59" s="4"/>
      <c r="BP59" s="24"/>
      <c r="BQ59" s="24"/>
      <c r="BR59" s="4"/>
      <c r="BS59" s="1"/>
      <c r="BT59" s="1"/>
      <c r="BU59" s="4"/>
      <c r="BV59" s="1"/>
      <c r="BW59" s="1"/>
      <c r="BX59" s="4"/>
      <c r="BY59" s="1"/>
      <c r="BZ59" s="1"/>
      <c r="CA59" s="4"/>
      <c r="CB59" s="1"/>
      <c r="CC59" s="1"/>
      <c r="CD59" s="4"/>
      <c r="CE59" s="1"/>
      <c r="CF59" s="1"/>
      <c r="CG59" s="4"/>
      <c r="CH59" s="26"/>
      <c r="CI59" s="26"/>
      <c r="CJ59" s="4"/>
      <c r="CK59" s="1"/>
      <c r="CL59" s="1"/>
      <c r="CM59" s="4"/>
      <c r="CN59" s="1"/>
      <c r="CO59" s="1"/>
      <c r="CP59" s="4"/>
      <c r="CQ59" s="28"/>
      <c r="CR59" s="4"/>
      <c r="CS59" s="3"/>
      <c r="CT59" s="15"/>
      <c r="CU59" s="15"/>
      <c r="CV59" s="4"/>
      <c r="CW59" s="15"/>
      <c r="CX59" s="15"/>
      <c r="CY59" s="4"/>
      <c r="CZ59" s="15"/>
      <c r="DA59" s="15"/>
      <c r="DB59" s="4"/>
      <c r="DC59" s="15"/>
      <c r="DD59" s="15"/>
      <c r="DE59" s="4"/>
      <c r="DF59" s="15"/>
      <c r="DG59" s="15"/>
      <c r="DH59" s="4"/>
      <c r="DI59" s="26">
        <f>(64105*W3)*(105/63.9)</f>
        <v>73735.798122065724</v>
      </c>
      <c r="DJ59" s="26">
        <f>(33301)*(105/63.9)</f>
        <v>54719.953051643191</v>
      </c>
      <c r="DK59" s="4"/>
      <c r="DL59" s="1"/>
      <c r="DM59" s="1"/>
      <c r="DN59" s="4"/>
      <c r="DO59" s="1"/>
      <c r="DP59" s="1"/>
      <c r="DQ59" s="4"/>
      <c r="DR59" s="1"/>
      <c r="DS59" s="1"/>
      <c r="DT59" s="4"/>
      <c r="DU59" s="2"/>
      <c r="DV59" s="2"/>
      <c r="DW59" s="4"/>
      <c r="DX59" s="24"/>
      <c r="DY59" s="24"/>
      <c r="DZ59" s="25"/>
      <c r="EA59" s="24"/>
      <c r="EB59" s="24"/>
      <c r="EC59" s="25"/>
      <c r="ED59" s="24"/>
      <c r="EE59" s="24"/>
      <c r="EF59" s="25"/>
      <c r="EG59" s="24"/>
      <c r="EH59" s="24"/>
      <c r="EI59" s="25"/>
      <c r="EJ59" s="32"/>
      <c r="EK59" s="32"/>
      <c r="EL59" s="4"/>
      <c r="EM59" s="26"/>
      <c r="EN59" s="26"/>
      <c r="EO59" s="4"/>
      <c r="EP59" s="1"/>
      <c r="EQ59" s="1"/>
      <c r="ER59" s="4"/>
      <c r="ES59" s="1"/>
      <c r="ET59" s="1"/>
      <c r="EU59" s="4"/>
      <c r="EV59" s="1"/>
      <c r="EW59" s="1"/>
      <c r="EX59" s="4"/>
      <c r="EY59" s="120"/>
      <c r="EZ59" s="4"/>
      <c r="FA59" s="4"/>
      <c r="FB59" s="1"/>
      <c r="FC59" s="1"/>
      <c r="FD59" s="4"/>
      <c r="FE59" s="1"/>
      <c r="FF59" s="1"/>
      <c r="FG59" s="4"/>
      <c r="FH59" s="1"/>
      <c r="FI59" s="1"/>
      <c r="FJ59" s="4"/>
      <c r="FK59" s="2"/>
      <c r="FL59" s="4"/>
      <c r="FM59" s="4"/>
      <c r="FN59" s="1"/>
      <c r="FO59" s="1"/>
      <c r="FP59" s="4"/>
      <c r="FQ59" s="1"/>
      <c r="FR59" s="1"/>
      <c r="FS59" s="4"/>
      <c r="FT59" s="1"/>
      <c r="FU59" s="1"/>
      <c r="FV59" s="4"/>
      <c r="FW59" s="2"/>
      <c r="FX59" s="4"/>
      <c r="FY59" s="3"/>
      <c r="FZ59" s="4"/>
      <c r="GA59" s="4"/>
      <c r="GB59" s="4"/>
      <c r="GC59" s="4"/>
    </row>
    <row r="60" spans="1:185" ht="42" x14ac:dyDescent="0.3">
      <c r="A60" s="4"/>
      <c r="B60" s="134"/>
      <c r="C60" s="136"/>
      <c r="D60" s="11" t="s">
        <v>199</v>
      </c>
      <c r="E60" s="44">
        <v>3</v>
      </c>
      <c r="F60" s="136"/>
      <c r="G60" s="3"/>
      <c r="H60" s="24"/>
      <c r="I60" s="24"/>
      <c r="J60" s="4"/>
      <c r="K60" s="1"/>
      <c r="L60" s="1"/>
      <c r="M60" s="4"/>
      <c r="N60" s="24"/>
      <c r="O60" s="24"/>
      <c r="P60" s="4"/>
      <c r="Q60" s="26"/>
      <c r="R60" s="26"/>
      <c r="S60" s="4"/>
      <c r="T60" s="24"/>
      <c r="U60" s="24"/>
      <c r="V60" s="20"/>
      <c r="W60" s="24"/>
      <c r="X60" s="24"/>
      <c r="Y60" s="4"/>
      <c r="Z60" s="24"/>
      <c r="AA60" s="24"/>
      <c r="AB60" s="4"/>
      <c r="AC60" s="1"/>
      <c r="AD60" s="1"/>
      <c r="AE60" s="4"/>
      <c r="AF60" s="1"/>
      <c r="AG60" s="1"/>
      <c r="AH60" s="4"/>
      <c r="AI60" s="1"/>
      <c r="AJ60" s="1"/>
      <c r="AK60" s="4"/>
      <c r="AL60" s="24"/>
      <c r="AM60" s="24"/>
      <c r="AN60" s="4"/>
      <c r="AO60" s="1"/>
      <c r="AP60" s="1"/>
      <c r="AQ60" s="4"/>
      <c r="AR60" s="1"/>
      <c r="AS60" s="1"/>
      <c r="AT60" s="4"/>
      <c r="AU60" s="24"/>
      <c r="AV60" s="24"/>
      <c r="AW60" s="4"/>
      <c r="AX60" s="1"/>
      <c r="AY60" s="1"/>
      <c r="AZ60" s="4"/>
      <c r="BA60" s="1"/>
      <c r="BB60" s="1"/>
      <c r="BC60" s="4"/>
      <c r="BD60" s="1"/>
      <c r="BE60" s="1"/>
      <c r="BF60" s="4"/>
      <c r="BG60" s="1"/>
      <c r="BH60" s="1"/>
      <c r="BI60" s="4"/>
      <c r="BJ60" s="1"/>
      <c r="BK60" s="1"/>
      <c r="BL60" s="4"/>
      <c r="BM60" s="1"/>
      <c r="BN60" s="1"/>
      <c r="BO60" s="4"/>
      <c r="BP60" s="24"/>
      <c r="BQ60" s="24"/>
      <c r="BR60" s="4"/>
      <c r="BS60" s="1"/>
      <c r="BT60" s="1"/>
      <c r="BU60" s="4"/>
      <c r="BV60" s="1"/>
      <c r="BW60" s="1"/>
      <c r="BX60" s="4"/>
      <c r="BY60" s="1"/>
      <c r="BZ60" s="1"/>
      <c r="CA60" s="4"/>
      <c r="CB60" s="1"/>
      <c r="CC60" s="1"/>
      <c r="CD60" s="4"/>
      <c r="CE60" s="1"/>
      <c r="CF60" s="1"/>
      <c r="CG60" s="4"/>
      <c r="CH60" s="26"/>
      <c r="CI60" s="26"/>
      <c r="CJ60" s="4"/>
      <c r="CK60" s="1"/>
      <c r="CL60" s="1"/>
      <c r="CM60" s="4"/>
      <c r="CN60" s="1"/>
      <c r="CO60" s="1"/>
      <c r="CP60" s="4"/>
      <c r="CQ60" s="28"/>
      <c r="CR60" s="4"/>
      <c r="CS60" s="3"/>
      <c r="CT60" s="15"/>
      <c r="CU60" s="15"/>
      <c r="CV60" s="4"/>
      <c r="CW60" s="15"/>
      <c r="CX60" s="15"/>
      <c r="CY60" s="4"/>
      <c r="CZ60" s="15"/>
      <c r="DA60" s="15"/>
      <c r="DB60" s="4"/>
      <c r="DC60" s="15"/>
      <c r="DD60" s="15"/>
      <c r="DE60" s="4"/>
      <c r="DF60" s="15"/>
      <c r="DG60" s="15"/>
      <c r="DH60" s="4"/>
      <c r="DI60" s="26">
        <f>(14602*W3)*(105/63.9)</f>
        <v>16795.727699530515</v>
      </c>
      <c r="DJ60" s="26">
        <f>(8531)*(105/63.9)</f>
        <v>14018.075117370892</v>
      </c>
      <c r="DK60" s="4"/>
      <c r="DL60" s="1"/>
      <c r="DM60" s="1"/>
      <c r="DN60" s="4"/>
      <c r="DO60" s="1"/>
      <c r="DP60" s="1"/>
      <c r="DQ60" s="4"/>
      <c r="DR60" s="1"/>
      <c r="DS60" s="1"/>
      <c r="DT60" s="4"/>
      <c r="DU60" s="2"/>
      <c r="DV60" s="2"/>
      <c r="DW60" s="4"/>
      <c r="DX60" s="24"/>
      <c r="DY60" s="24"/>
      <c r="DZ60" s="25"/>
      <c r="EA60" s="24"/>
      <c r="EB60" s="24"/>
      <c r="EC60" s="25"/>
      <c r="ED60" s="24"/>
      <c r="EE60" s="24"/>
      <c r="EF60" s="25"/>
      <c r="EG60" s="24"/>
      <c r="EH60" s="24"/>
      <c r="EI60" s="25"/>
      <c r="EJ60" s="32"/>
      <c r="EK60" s="32"/>
      <c r="EL60" s="4"/>
      <c r="EM60" s="26"/>
      <c r="EN60" s="26"/>
      <c r="EO60" s="4"/>
      <c r="EP60" s="1"/>
      <c r="EQ60" s="1"/>
      <c r="ER60" s="4"/>
      <c r="ES60" s="1"/>
      <c r="ET60" s="1"/>
      <c r="EU60" s="4"/>
      <c r="EV60" s="1"/>
      <c r="EW60" s="1"/>
      <c r="EX60" s="4"/>
      <c r="EY60" s="120"/>
      <c r="EZ60" s="4"/>
      <c r="FA60" s="4"/>
      <c r="FB60" s="1"/>
      <c r="FC60" s="1"/>
      <c r="FD60" s="4"/>
      <c r="FE60" s="1"/>
      <c r="FF60" s="1"/>
      <c r="FG60" s="4"/>
      <c r="FH60" s="1"/>
      <c r="FI60" s="1"/>
      <c r="FJ60" s="4"/>
      <c r="FK60" s="2"/>
      <c r="FL60" s="4"/>
      <c r="FM60" s="4"/>
      <c r="FN60" s="1"/>
      <c r="FO60" s="1"/>
      <c r="FP60" s="4"/>
      <c r="FQ60" s="1"/>
      <c r="FR60" s="1"/>
      <c r="FS60" s="4"/>
      <c r="FT60" s="1"/>
      <c r="FU60" s="1"/>
      <c r="FV60" s="4"/>
      <c r="FW60" s="2"/>
      <c r="FX60" s="4"/>
      <c r="FY60" s="3"/>
      <c r="FZ60" s="4"/>
      <c r="GA60" s="19"/>
      <c r="GB60" s="19"/>
      <c r="GC60" s="4"/>
    </row>
    <row r="61" spans="1:185" x14ac:dyDescent="0.3">
      <c r="A61" s="4"/>
      <c r="B61" s="88"/>
      <c r="C61" s="88"/>
      <c r="D61" s="88"/>
      <c r="E61" s="88"/>
      <c r="F61" s="88"/>
      <c r="G61" s="3"/>
      <c r="H61" s="3"/>
      <c r="I61" s="3"/>
      <c r="J61" s="4"/>
      <c r="K61" s="3"/>
      <c r="L61" s="3"/>
      <c r="M61" s="4"/>
      <c r="N61" s="3"/>
      <c r="O61" s="3"/>
      <c r="P61" s="4"/>
      <c r="Q61" s="3"/>
      <c r="R61" s="3"/>
      <c r="S61" s="4"/>
      <c r="T61" s="3"/>
      <c r="U61" s="3"/>
      <c r="V61" s="20"/>
      <c r="W61" s="3"/>
      <c r="X61" s="3"/>
      <c r="Y61" s="4"/>
      <c r="Z61" s="3"/>
      <c r="AA61" s="3"/>
      <c r="AB61" s="4"/>
      <c r="AC61" s="3"/>
      <c r="AD61" s="3"/>
      <c r="AE61" s="4"/>
      <c r="AF61" s="3"/>
      <c r="AG61" s="3"/>
      <c r="AH61" s="4"/>
      <c r="AI61" s="3"/>
      <c r="AJ61" s="3"/>
      <c r="AK61" s="4"/>
      <c r="AL61" s="3"/>
      <c r="AM61" s="3"/>
      <c r="AN61" s="4"/>
      <c r="AO61" s="3"/>
      <c r="AP61" s="3"/>
      <c r="AQ61" s="4"/>
      <c r="AR61" s="3"/>
      <c r="AS61" s="3"/>
      <c r="AT61" s="4"/>
      <c r="AU61" s="3"/>
      <c r="AV61" s="3"/>
      <c r="AW61" s="4"/>
      <c r="AX61" s="3"/>
      <c r="AY61" s="3"/>
      <c r="AZ61" s="4"/>
      <c r="BA61" s="3"/>
      <c r="BB61" s="3"/>
      <c r="BC61" s="4"/>
      <c r="BD61" s="3"/>
      <c r="BE61" s="3"/>
      <c r="BF61" s="4"/>
      <c r="BG61" s="3"/>
      <c r="BH61" s="3"/>
      <c r="BI61" s="4"/>
      <c r="BJ61" s="3"/>
      <c r="BK61" s="3"/>
      <c r="BL61" s="4"/>
      <c r="BM61" s="3"/>
      <c r="BN61" s="3"/>
      <c r="BO61" s="4"/>
      <c r="BP61" s="3"/>
      <c r="BQ61" s="3"/>
      <c r="BR61" s="4"/>
      <c r="BS61" s="3"/>
      <c r="BT61" s="3"/>
      <c r="BU61" s="4"/>
      <c r="BV61" s="3"/>
      <c r="BW61" s="3"/>
      <c r="BX61" s="4"/>
      <c r="BY61" s="3"/>
      <c r="BZ61" s="3"/>
      <c r="CA61" s="4"/>
      <c r="CB61" s="3"/>
      <c r="CC61" s="3"/>
      <c r="CD61" s="4"/>
      <c r="CE61" s="3"/>
      <c r="CF61" s="3"/>
      <c r="CG61" s="4"/>
      <c r="CH61" s="3"/>
      <c r="CI61" s="3"/>
      <c r="CJ61" s="4"/>
      <c r="CK61" s="3"/>
      <c r="CL61" s="3"/>
      <c r="CM61" s="4"/>
      <c r="CN61" s="3"/>
      <c r="CO61" s="3"/>
      <c r="CP61" s="4"/>
      <c r="CQ61" s="3"/>
      <c r="CR61" s="4"/>
      <c r="CS61" s="3"/>
      <c r="CT61" s="3"/>
      <c r="CU61" s="3"/>
      <c r="CV61" s="4"/>
      <c r="CW61" s="3"/>
      <c r="CX61" s="3"/>
      <c r="CY61" s="4"/>
      <c r="CZ61" s="3"/>
      <c r="DA61" s="3"/>
      <c r="DB61" s="4"/>
      <c r="DC61" s="3"/>
      <c r="DD61" s="3"/>
      <c r="DE61" s="4"/>
      <c r="DF61" s="3"/>
      <c r="DG61" s="3"/>
      <c r="DH61" s="4"/>
      <c r="DI61" s="3"/>
      <c r="DJ61" s="3"/>
      <c r="DK61" s="4"/>
      <c r="DL61" s="3"/>
      <c r="DM61" s="3"/>
      <c r="DN61" s="4"/>
      <c r="DO61" s="3"/>
      <c r="DP61" s="3"/>
      <c r="DQ61" s="4"/>
      <c r="DR61" s="3"/>
      <c r="DS61" s="3"/>
      <c r="DT61" s="4"/>
      <c r="DU61" s="3"/>
      <c r="DV61" s="3"/>
      <c r="DW61" s="4"/>
      <c r="DX61" s="3"/>
      <c r="DY61" s="3"/>
      <c r="DZ61" s="25"/>
      <c r="EA61" s="3"/>
      <c r="EB61" s="3"/>
      <c r="EC61" s="25"/>
      <c r="ED61" s="3"/>
      <c r="EE61" s="3"/>
      <c r="EF61" s="25"/>
      <c r="EG61" s="3"/>
      <c r="EH61" s="3"/>
      <c r="EI61" s="25"/>
      <c r="EJ61" s="3"/>
      <c r="EK61" s="3"/>
      <c r="EL61" s="4"/>
      <c r="EM61" s="3"/>
      <c r="EN61" s="3"/>
      <c r="EO61" s="4"/>
      <c r="EP61" s="3"/>
      <c r="EQ61" s="3"/>
      <c r="ER61" s="4"/>
      <c r="ES61" s="3"/>
      <c r="ET61" s="3"/>
      <c r="EU61" s="4"/>
      <c r="EV61" s="3"/>
      <c r="EW61" s="3"/>
      <c r="EX61" s="4"/>
      <c r="EY61" s="3"/>
      <c r="EZ61" s="4"/>
      <c r="FA61" s="4"/>
      <c r="FB61" s="3"/>
      <c r="FC61" s="3"/>
      <c r="FD61" s="4"/>
      <c r="FE61" s="3"/>
      <c r="FF61" s="3"/>
      <c r="FG61" s="4"/>
      <c r="FH61" s="3"/>
      <c r="FI61" s="3"/>
      <c r="FJ61" s="4"/>
      <c r="FK61" s="3"/>
      <c r="FL61" s="4"/>
      <c r="FM61" s="4"/>
      <c r="FN61" s="3"/>
      <c r="FO61" s="3"/>
      <c r="FP61" s="4"/>
      <c r="FQ61" s="3"/>
      <c r="FR61" s="3"/>
      <c r="FS61" s="4"/>
      <c r="FT61" s="3"/>
      <c r="FU61" s="3"/>
      <c r="FV61" s="4"/>
      <c r="FW61" s="3"/>
      <c r="FX61" s="4"/>
      <c r="FY61" s="3"/>
      <c r="FZ61" s="4"/>
      <c r="GA61" s="4"/>
      <c r="GB61" s="4"/>
      <c r="GC61" s="4"/>
    </row>
    <row r="62" spans="1:185" x14ac:dyDescent="0.3">
      <c r="A62" s="4"/>
      <c r="B62" s="132" t="s">
        <v>228</v>
      </c>
      <c r="C62" s="139" t="s">
        <v>213</v>
      </c>
      <c r="D62" s="103" t="s">
        <v>230</v>
      </c>
      <c r="E62" s="44">
        <v>1</v>
      </c>
      <c r="F62" s="135" t="s">
        <v>229</v>
      </c>
      <c r="G62" s="3"/>
      <c r="H62" s="24"/>
      <c r="I62" s="24"/>
      <c r="J62" s="4"/>
      <c r="K62" s="1"/>
      <c r="L62" s="1"/>
      <c r="M62" s="4"/>
      <c r="N62" s="24"/>
      <c r="O62" s="24"/>
      <c r="P62" s="4"/>
      <c r="Q62" s="26">
        <f>(7851.6)*(106.3/90.5)</f>
        <v>9222.3765745856363</v>
      </c>
      <c r="R62" s="26"/>
      <c r="S62" s="4"/>
      <c r="T62" s="24"/>
      <c r="U62" s="24"/>
      <c r="V62" s="20"/>
      <c r="W62" s="24"/>
      <c r="X62" s="24"/>
      <c r="Y62" s="4"/>
      <c r="Z62" s="24"/>
      <c r="AA62" s="24"/>
      <c r="AB62" s="4"/>
      <c r="AC62" s="1"/>
      <c r="AD62" s="1"/>
      <c r="AE62" s="4"/>
      <c r="AF62" s="1"/>
      <c r="AG62" s="1"/>
      <c r="AH62" s="4"/>
      <c r="AI62" s="1"/>
      <c r="AJ62" s="1"/>
      <c r="AK62" s="4"/>
      <c r="AL62" s="24"/>
      <c r="AM62" s="24"/>
      <c r="AN62" s="4"/>
      <c r="AO62" s="1"/>
      <c r="AP62" s="1"/>
      <c r="AQ62" s="4"/>
      <c r="AR62" s="1"/>
      <c r="AS62" s="1"/>
      <c r="AT62" s="4"/>
      <c r="AU62" s="24"/>
      <c r="AV62" s="24"/>
      <c r="AW62" s="4"/>
      <c r="AX62" s="1"/>
      <c r="AY62" s="1"/>
      <c r="AZ62" s="4"/>
      <c r="BA62" s="1"/>
      <c r="BB62" s="1"/>
      <c r="BC62" s="4"/>
      <c r="BD62" s="1"/>
      <c r="BE62" s="1"/>
      <c r="BF62" s="4"/>
      <c r="BG62" s="1"/>
      <c r="BH62" s="1"/>
      <c r="BI62" s="4"/>
      <c r="BJ62" s="1"/>
      <c r="BK62" s="1"/>
      <c r="BL62" s="4"/>
      <c r="BM62" s="1"/>
      <c r="BN62" s="1"/>
      <c r="BO62" s="4"/>
      <c r="BP62" s="24"/>
      <c r="BQ62" s="24"/>
      <c r="BR62" s="4"/>
      <c r="BS62" s="1"/>
      <c r="BT62" s="1"/>
      <c r="BU62" s="4"/>
      <c r="BV62" s="1"/>
      <c r="BW62" s="1"/>
      <c r="BX62" s="4"/>
      <c r="BY62" s="1"/>
      <c r="BZ62" s="1"/>
      <c r="CA62" s="4"/>
      <c r="CB62" s="1"/>
      <c r="CC62" s="1"/>
      <c r="CD62" s="4"/>
      <c r="CE62" s="1"/>
      <c r="CF62" s="1"/>
      <c r="CG62" s="4"/>
      <c r="CH62" s="26"/>
      <c r="CI62" s="26"/>
      <c r="CJ62" s="4"/>
      <c r="CK62" s="1"/>
      <c r="CL62" s="1"/>
      <c r="CM62" s="4"/>
      <c r="CN62" s="1"/>
      <c r="CO62" s="1"/>
      <c r="CP62" s="4"/>
      <c r="CQ62" s="28"/>
      <c r="CR62" s="4"/>
      <c r="CS62" s="3"/>
      <c r="CT62" s="15"/>
      <c r="CU62" s="15"/>
      <c r="CV62" s="4"/>
      <c r="CW62" s="15"/>
      <c r="CX62" s="15"/>
      <c r="CY62" s="4"/>
      <c r="CZ62" s="15"/>
      <c r="DA62" s="15"/>
      <c r="DB62" s="4"/>
      <c r="DC62" s="15"/>
      <c r="DD62" s="15"/>
      <c r="DE62" s="4"/>
      <c r="DF62" s="15"/>
      <c r="DG62" s="15"/>
      <c r="DH62" s="4"/>
      <c r="DI62" s="26"/>
      <c r="DJ62" s="26"/>
      <c r="DK62" s="4"/>
      <c r="DL62" s="1"/>
      <c r="DM62" s="1"/>
      <c r="DN62" s="4"/>
      <c r="DO62" s="1"/>
      <c r="DP62" s="1"/>
      <c r="DQ62" s="4"/>
      <c r="DR62" s="1"/>
      <c r="DS62" s="1"/>
      <c r="DT62" s="4"/>
      <c r="DU62" s="2"/>
      <c r="DV62" s="2"/>
      <c r="DW62" s="4"/>
      <c r="DX62" s="24"/>
      <c r="DY62" s="24"/>
      <c r="DZ62" s="25"/>
      <c r="EA62" s="24"/>
      <c r="EB62" s="24"/>
      <c r="EC62" s="25"/>
      <c r="ED62" s="24"/>
      <c r="EE62" s="24"/>
      <c r="EF62" s="25"/>
      <c r="EG62" s="24"/>
      <c r="EH62" s="24"/>
      <c r="EI62" s="25"/>
      <c r="EJ62" s="32"/>
      <c r="EK62" s="32"/>
      <c r="EL62" s="4"/>
      <c r="EM62" s="26"/>
      <c r="EN62" s="26"/>
      <c r="EO62" s="4"/>
      <c r="EP62" s="1"/>
      <c r="EQ62" s="1"/>
      <c r="ER62" s="4"/>
      <c r="ES62" s="1"/>
      <c r="ET62" s="1"/>
      <c r="EU62" s="4"/>
      <c r="EV62" s="1"/>
      <c r="EW62" s="1"/>
      <c r="EX62" s="4"/>
      <c r="EY62" s="120"/>
      <c r="EZ62" s="4"/>
      <c r="FA62" s="4"/>
      <c r="FB62" s="1"/>
      <c r="FC62" s="1"/>
      <c r="FD62" s="4"/>
      <c r="FE62" s="1"/>
      <c r="FF62" s="1"/>
      <c r="FG62" s="4"/>
      <c r="FH62" s="1"/>
      <c r="FI62" s="1"/>
      <c r="FJ62" s="4"/>
      <c r="FK62" s="2"/>
      <c r="FL62" s="4"/>
      <c r="FM62" s="4"/>
      <c r="FN62" s="1"/>
      <c r="FO62" s="1"/>
      <c r="FP62" s="4"/>
      <c r="FQ62" s="1"/>
      <c r="FR62" s="1"/>
      <c r="FS62" s="4"/>
      <c r="FT62" s="1"/>
      <c r="FU62" s="1"/>
      <c r="FV62" s="4"/>
      <c r="FW62" s="2"/>
      <c r="FX62" s="4"/>
      <c r="FY62" s="3"/>
      <c r="FZ62" s="4"/>
      <c r="GA62" s="4"/>
      <c r="GB62" s="4"/>
      <c r="GC62" s="4"/>
    </row>
    <row r="63" spans="1:185" x14ac:dyDescent="0.3">
      <c r="A63" s="4"/>
      <c r="B63" s="132"/>
      <c r="C63" s="139"/>
      <c r="D63" s="103" t="s">
        <v>231</v>
      </c>
      <c r="E63" s="44">
        <v>1</v>
      </c>
      <c r="F63" s="135"/>
      <c r="G63" s="3"/>
      <c r="H63" s="24"/>
      <c r="I63" s="24"/>
      <c r="J63" s="4"/>
      <c r="K63" s="1"/>
      <c r="L63" s="1"/>
      <c r="M63" s="4"/>
      <c r="N63" s="24"/>
      <c r="O63" s="24"/>
      <c r="P63" s="4"/>
      <c r="Q63" s="26">
        <f>(15016.9)*(106.3/90.5)</f>
        <v>17638.635027624307</v>
      </c>
      <c r="R63" s="26"/>
      <c r="S63" s="4"/>
      <c r="T63" s="24"/>
      <c r="U63" s="24"/>
      <c r="V63" s="20"/>
      <c r="W63" s="24"/>
      <c r="X63" s="24"/>
      <c r="Y63" s="4"/>
      <c r="Z63" s="24"/>
      <c r="AA63" s="24"/>
      <c r="AB63" s="4"/>
      <c r="AC63" s="1"/>
      <c r="AD63" s="1"/>
      <c r="AE63" s="4"/>
      <c r="AF63" s="1"/>
      <c r="AG63" s="1"/>
      <c r="AH63" s="4"/>
      <c r="AI63" s="1"/>
      <c r="AJ63" s="1"/>
      <c r="AK63" s="4"/>
      <c r="AL63" s="24"/>
      <c r="AM63" s="24"/>
      <c r="AN63" s="4"/>
      <c r="AO63" s="1"/>
      <c r="AP63" s="1"/>
      <c r="AQ63" s="4"/>
      <c r="AR63" s="1"/>
      <c r="AS63" s="1"/>
      <c r="AT63" s="4"/>
      <c r="AU63" s="24"/>
      <c r="AV63" s="24"/>
      <c r="AW63" s="4"/>
      <c r="AX63" s="1"/>
      <c r="AY63" s="1"/>
      <c r="AZ63" s="4"/>
      <c r="BA63" s="1"/>
      <c r="BB63" s="1"/>
      <c r="BC63" s="4"/>
      <c r="BD63" s="1"/>
      <c r="BE63" s="1"/>
      <c r="BF63" s="4"/>
      <c r="BG63" s="1"/>
      <c r="BH63" s="1"/>
      <c r="BI63" s="4"/>
      <c r="BJ63" s="1"/>
      <c r="BK63" s="1"/>
      <c r="BL63" s="4"/>
      <c r="BM63" s="1"/>
      <c r="BN63" s="1"/>
      <c r="BO63" s="4"/>
      <c r="BP63" s="24"/>
      <c r="BQ63" s="24"/>
      <c r="BR63" s="4"/>
      <c r="BS63" s="1"/>
      <c r="BT63" s="1"/>
      <c r="BU63" s="4"/>
      <c r="BV63" s="1"/>
      <c r="BW63" s="1"/>
      <c r="BX63" s="4"/>
      <c r="BY63" s="1"/>
      <c r="BZ63" s="1"/>
      <c r="CA63" s="4"/>
      <c r="CB63" s="1"/>
      <c r="CC63" s="1"/>
      <c r="CD63" s="4"/>
      <c r="CE63" s="1"/>
      <c r="CF63" s="1"/>
      <c r="CG63" s="4"/>
      <c r="CH63" s="26"/>
      <c r="CI63" s="26"/>
      <c r="CJ63" s="4"/>
      <c r="CK63" s="1"/>
      <c r="CL63" s="1"/>
      <c r="CM63" s="4"/>
      <c r="CN63" s="1"/>
      <c r="CO63" s="1"/>
      <c r="CP63" s="4"/>
      <c r="CQ63" s="28"/>
      <c r="CR63" s="4"/>
      <c r="CS63" s="3"/>
      <c r="CT63" s="15"/>
      <c r="CU63" s="15"/>
      <c r="CV63" s="4"/>
      <c r="CW63" s="15"/>
      <c r="CX63" s="15"/>
      <c r="CY63" s="4"/>
      <c r="CZ63" s="15"/>
      <c r="DA63" s="15"/>
      <c r="DB63" s="4"/>
      <c r="DC63" s="15"/>
      <c r="DD63" s="15"/>
      <c r="DE63" s="4"/>
      <c r="DF63" s="15"/>
      <c r="DG63" s="15"/>
      <c r="DH63" s="4"/>
      <c r="DI63" s="26"/>
      <c r="DJ63" s="26"/>
      <c r="DK63" s="4"/>
      <c r="DL63" s="1"/>
      <c r="DM63" s="1"/>
      <c r="DN63" s="4"/>
      <c r="DO63" s="1"/>
      <c r="DP63" s="1"/>
      <c r="DQ63" s="4"/>
      <c r="DR63" s="1"/>
      <c r="DS63" s="1"/>
      <c r="DT63" s="4"/>
      <c r="DU63" s="2"/>
      <c r="DV63" s="2"/>
      <c r="DW63" s="4"/>
      <c r="DX63" s="24"/>
      <c r="DY63" s="24"/>
      <c r="DZ63" s="25"/>
      <c r="EA63" s="24"/>
      <c r="EB63" s="24"/>
      <c r="EC63" s="25"/>
      <c r="ED63" s="24"/>
      <c r="EE63" s="24"/>
      <c r="EF63" s="25"/>
      <c r="EG63" s="24"/>
      <c r="EH63" s="24"/>
      <c r="EI63" s="25"/>
      <c r="EJ63" s="32"/>
      <c r="EK63" s="32"/>
      <c r="EL63" s="4"/>
      <c r="EM63" s="26"/>
      <c r="EN63" s="26"/>
      <c r="EO63" s="4"/>
      <c r="EP63" s="1"/>
      <c r="EQ63" s="1"/>
      <c r="ER63" s="4"/>
      <c r="ES63" s="1"/>
      <c r="ET63" s="1"/>
      <c r="EU63" s="4"/>
      <c r="EV63" s="1"/>
      <c r="EW63" s="1"/>
      <c r="EX63" s="4"/>
      <c r="EY63" s="120"/>
      <c r="EZ63" s="4"/>
      <c r="FA63" s="4"/>
      <c r="FB63" s="1"/>
      <c r="FC63" s="1"/>
      <c r="FD63" s="4"/>
      <c r="FE63" s="1"/>
      <c r="FF63" s="1"/>
      <c r="FG63" s="4"/>
      <c r="FH63" s="1"/>
      <c r="FI63" s="1"/>
      <c r="FJ63" s="4"/>
      <c r="FK63" s="2"/>
      <c r="FL63" s="4"/>
      <c r="FM63" s="4"/>
      <c r="FN63" s="1"/>
      <c r="FO63" s="1"/>
      <c r="FP63" s="4"/>
      <c r="FQ63" s="1"/>
      <c r="FR63" s="1"/>
      <c r="FS63" s="4"/>
      <c r="FT63" s="1"/>
      <c r="FU63" s="1"/>
      <c r="FV63" s="4"/>
      <c r="FW63" s="2"/>
      <c r="FX63" s="4"/>
      <c r="FY63" s="3"/>
      <c r="FZ63" s="4"/>
      <c r="GA63" s="4"/>
      <c r="GB63" s="4"/>
      <c r="GC63" s="4"/>
    </row>
    <row r="64" spans="1:185" ht="28" x14ac:dyDescent="0.3">
      <c r="A64" s="4"/>
      <c r="B64" s="142"/>
      <c r="C64" s="136"/>
      <c r="D64" s="103" t="s">
        <v>232</v>
      </c>
      <c r="E64" s="44">
        <v>1</v>
      </c>
      <c r="F64" s="136"/>
      <c r="G64" s="3"/>
      <c r="H64" s="24"/>
      <c r="I64" s="24"/>
      <c r="J64" s="4"/>
      <c r="K64" s="1"/>
      <c r="L64" s="1"/>
      <c r="M64" s="4"/>
      <c r="N64" s="24"/>
      <c r="O64" s="24"/>
      <c r="P64" s="4"/>
      <c r="Q64" s="26">
        <f>(5667.9)*(106.3/90.5)</f>
        <v>6657.4339226519332</v>
      </c>
      <c r="R64" s="26"/>
      <c r="S64" s="4"/>
      <c r="T64" s="24"/>
      <c r="U64" s="24"/>
      <c r="V64" s="20"/>
      <c r="W64" s="24"/>
      <c r="X64" s="24"/>
      <c r="Y64" s="4"/>
      <c r="Z64" s="24"/>
      <c r="AA64" s="24"/>
      <c r="AB64" s="4"/>
      <c r="AC64" s="1"/>
      <c r="AD64" s="1"/>
      <c r="AE64" s="4"/>
      <c r="AF64" s="1"/>
      <c r="AG64" s="1"/>
      <c r="AH64" s="4"/>
      <c r="AI64" s="1"/>
      <c r="AJ64" s="1"/>
      <c r="AK64" s="4"/>
      <c r="AL64" s="24"/>
      <c r="AM64" s="24"/>
      <c r="AN64" s="4"/>
      <c r="AO64" s="1"/>
      <c r="AP64" s="1"/>
      <c r="AQ64" s="4"/>
      <c r="AR64" s="1"/>
      <c r="AS64" s="1"/>
      <c r="AT64" s="4"/>
      <c r="AU64" s="24"/>
      <c r="AV64" s="24"/>
      <c r="AW64" s="4"/>
      <c r="AX64" s="1"/>
      <c r="AY64" s="1"/>
      <c r="AZ64" s="4"/>
      <c r="BA64" s="1"/>
      <c r="BB64" s="1"/>
      <c r="BC64" s="4"/>
      <c r="BD64" s="1"/>
      <c r="BE64" s="1"/>
      <c r="BF64" s="4"/>
      <c r="BG64" s="1"/>
      <c r="BH64" s="1"/>
      <c r="BI64" s="4"/>
      <c r="BJ64" s="1"/>
      <c r="BK64" s="1"/>
      <c r="BL64" s="4"/>
      <c r="BM64" s="1"/>
      <c r="BN64" s="1"/>
      <c r="BO64" s="4"/>
      <c r="BP64" s="24"/>
      <c r="BQ64" s="24"/>
      <c r="BR64" s="4"/>
      <c r="BS64" s="1"/>
      <c r="BT64" s="1"/>
      <c r="BU64" s="4"/>
      <c r="BV64" s="1"/>
      <c r="BW64" s="1"/>
      <c r="BX64" s="4"/>
      <c r="BY64" s="1"/>
      <c r="BZ64" s="1"/>
      <c r="CA64" s="4"/>
      <c r="CB64" s="1"/>
      <c r="CC64" s="1"/>
      <c r="CD64" s="4"/>
      <c r="CE64" s="1"/>
      <c r="CF64" s="1"/>
      <c r="CG64" s="4"/>
      <c r="CH64" s="26"/>
      <c r="CI64" s="26"/>
      <c r="CJ64" s="4"/>
      <c r="CK64" s="1"/>
      <c r="CL64" s="1"/>
      <c r="CM64" s="4"/>
      <c r="CN64" s="1"/>
      <c r="CO64" s="1"/>
      <c r="CP64" s="4"/>
      <c r="CQ64" s="28"/>
      <c r="CR64" s="4"/>
      <c r="CS64" s="3"/>
      <c r="CT64" s="15"/>
      <c r="CU64" s="15"/>
      <c r="CV64" s="4"/>
      <c r="CW64" s="15"/>
      <c r="CX64" s="15"/>
      <c r="CY64" s="4"/>
      <c r="CZ64" s="15"/>
      <c r="DA64" s="15"/>
      <c r="DB64" s="4"/>
      <c r="DC64" s="15"/>
      <c r="DD64" s="15"/>
      <c r="DE64" s="4"/>
      <c r="DF64" s="15"/>
      <c r="DG64" s="15"/>
      <c r="DH64" s="4"/>
      <c r="DI64" s="26"/>
      <c r="DJ64" s="26"/>
      <c r="DK64" s="4"/>
      <c r="DL64" s="1"/>
      <c r="DM64" s="1"/>
      <c r="DN64" s="4"/>
      <c r="DO64" s="1"/>
      <c r="DP64" s="1"/>
      <c r="DQ64" s="4"/>
      <c r="DR64" s="1"/>
      <c r="DS64" s="1"/>
      <c r="DT64" s="4"/>
      <c r="DU64" s="2"/>
      <c r="DV64" s="2"/>
      <c r="DW64" s="4"/>
      <c r="DX64" s="24"/>
      <c r="DY64" s="24"/>
      <c r="DZ64" s="25"/>
      <c r="EA64" s="24"/>
      <c r="EB64" s="24"/>
      <c r="EC64" s="25"/>
      <c r="ED64" s="24"/>
      <c r="EE64" s="24"/>
      <c r="EF64" s="25"/>
      <c r="EG64" s="24"/>
      <c r="EH64" s="24"/>
      <c r="EI64" s="25"/>
      <c r="EJ64" s="32"/>
      <c r="EK64" s="32"/>
      <c r="EL64" s="4"/>
      <c r="EM64" s="26"/>
      <c r="EN64" s="26"/>
      <c r="EO64" s="4"/>
      <c r="EP64" s="1"/>
      <c r="EQ64" s="1"/>
      <c r="ER64" s="4"/>
      <c r="ES64" s="1"/>
      <c r="ET64" s="1"/>
      <c r="EU64" s="4"/>
      <c r="EV64" s="1"/>
      <c r="EW64" s="1"/>
      <c r="EX64" s="4"/>
      <c r="EY64" s="120"/>
      <c r="EZ64" s="4"/>
      <c r="FA64" s="4"/>
      <c r="FB64" s="1"/>
      <c r="FC64" s="1"/>
      <c r="FD64" s="4"/>
      <c r="FE64" s="1"/>
      <c r="FF64" s="1"/>
      <c r="FG64" s="4"/>
      <c r="FH64" s="1"/>
      <c r="FI64" s="1"/>
      <c r="FJ64" s="4"/>
      <c r="FK64" s="2"/>
      <c r="FL64" s="4"/>
      <c r="FM64" s="4"/>
      <c r="FN64" s="1"/>
      <c r="FO64" s="1"/>
      <c r="FP64" s="4"/>
      <c r="FQ64" s="1"/>
      <c r="FR64" s="1"/>
      <c r="FS64" s="4"/>
      <c r="FT64" s="1"/>
      <c r="FU64" s="1"/>
      <c r="FV64" s="4"/>
      <c r="FW64" s="2"/>
      <c r="FX64" s="4"/>
      <c r="FY64" s="3"/>
      <c r="FZ64" s="4"/>
      <c r="GA64" s="4"/>
      <c r="GB64" s="4"/>
      <c r="GC64" s="4"/>
    </row>
    <row r="65" spans="1:185" x14ac:dyDescent="0.3">
      <c r="A65" s="4"/>
      <c r="B65" s="142"/>
      <c r="C65" s="136"/>
      <c r="D65" s="103" t="s">
        <v>233</v>
      </c>
      <c r="E65" s="44">
        <v>1</v>
      </c>
      <c r="F65" s="136"/>
      <c r="G65" s="3"/>
      <c r="H65" s="24"/>
      <c r="I65" s="24"/>
      <c r="J65" s="4"/>
      <c r="K65" s="1"/>
      <c r="L65" s="1"/>
      <c r="M65" s="4"/>
      <c r="N65" s="24"/>
      <c r="O65" s="24"/>
      <c r="P65" s="4"/>
      <c r="Q65" s="26">
        <f>(10490.6)*(106.3/90.5)</f>
        <v>12322.108066298342</v>
      </c>
      <c r="R65" s="26"/>
      <c r="S65" s="4"/>
      <c r="T65" s="24"/>
      <c r="U65" s="24"/>
      <c r="V65" s="20"/>
      <c r="W65" s="24"/>
      <c r="X65" s="24"/>
      <c r="Y65" s="4"/>
      <c r="Z65" s="24"/>
      <c r="AA65" s="24"/>
      <c r="AB65" s="4"/>
      <c r="AC65" s="1"/>
      <c r="AD65" s="1"/>
      <c r="AE65" s="4"/>
      <c r="AF65" s="1"/>
      <c r="AG65" s="1"/>
      <c r="AH65" s="4"/>
      <c r="AI65" s="1"/>
      <c r="AJ65" s="1"/>
      <c r="AK65" s="4"/>
      <c r="AL65" s="24"/>
      <c r="AM65" s="24"/>
      <c r="AN65" s="4"/>
      <c r="AO65" s="1"/>
      <c r="AP65" s="1"/>
      <c r="AQ65" s="4"/>
      <c r="AR65" s="1"/>
      <c r="AS65" s="1"/>
      <c r="AT65" s="4"/>
      <c r="AU65" s="24"/>
      <c r="AV65" s="24"/>
      <c r="AW65" s="4"/>
      <c r="AX65" s="1"/>
      <c r="AY65" s="1"/>
      <c r="AZ65" s="4"/>
      <c r="BA65" s="1"/>
      <c r="BB65" s="1"/>
      <c r="BC65" s="4"/>
      <c r="BD65" s="1"/>
      <c r="BE65" s="1"/>
      <c r="BF65" s="4"/>
      <c r="BG65" s="1"/>
      <c r="BH65" s="1"/>
      <c r="BI65" s="4"/>
      <c r="BJ65" s="1"/>
      <c r="BK65" s="1"/>
      <c r="BL65" s="4"/>
      <c r="BM65" s="1"/>
      <c r="BN65" s="1"/>
      <c r="BO65" s="4"/>
      <c r="BP65" s="24"/>
      <c r="BQ65" s="24"/>
      <c r="BR65" s="4"/>
      <c r="BS65" s="1"/>
      <c r="BT65" s="1"/>
      <c r="BU65" s="4"/>
      <c r="BV65" s="1"/>
      <c r="BW65" s="1"/>
      <c r="BX65" s="4"/>
      <c r="BY65" s="1"/>
      <c r="BZ65" s="1"/>
      <c r="CA65" s="4"/>
      <c r="CB65" s="1"/>
      <c r="CC65" s="1"/>
      <c r="CD65" s="4"/>
      <c r="CE65" s="1"/>
      <c r="CF65" s="1"/>
      <c r="CG65" s="4"/>
      <c r="CH65" s="26"/>
      <c r="CI65" s="26"/>
      <c r="CJ65" s="4"/>
      <c r="CK65" s="1"/>
      <c r="CL65" s="1"/>
      <c r="CM65" s="4"/>
      <c r="CN65" s="1"/>
      <c r="CO65" s="1"/>
      <c r="CP65" s="4"/>
      <c r="CQ65" s="28"/>
      <c r="CR65" s="4"/>
      <c r="CS65" s="3"/>
      <c r="CT65" s="15"/>
      <c r="CU65" s="15"/>
      <c r="CV65" s="4"/>
      <c r="CW65" s="15"/>
      <c r="CX65" s="15"/>
      <c r="CY65" s="4"/>
      <c r="CZ65" s="15"/>
      <c r="DA65" s="15"/>
      <c r="DB65" s="4"/>
      <c r="DC65" s="15"/>
      <c r="DD65" s="15"/>
      <c r="DE65" s="4"/>
      <c r="DF65" s="15"/>
      <c r="DG65" s="15"/>
      <c r="DH65" s="4"/>
      <c r="DI65" s="26"/>
      <c r="DJ65" s="26"/>
      <c r="DK65" s="4"/>
      <c r="DL65" s="1"/>
      <c r="DM65" s="1"/>
      <c r="DN65" s="4"/>
      <c r="DO65" s="1"/>
      <c r="DP65" s="1"/>
      <c r="DQ65" s="4"/>
      <c r="DR65" s="1"/>
      <c r="DS65" s="1"/>
      <c r="DT65" s="4"/>
      <c r="DU65" s="2"/>
      <c r="DV65" s="2"/>
      <c r="DW65" s="4"/>
      <c r="DX65" s="24"/>
      <c r="DY65" s="24"/>
      <c r="DZ65" s="25"/>
      <c r="EA65" s="24"/>
      <c r="EB65" s="24"/>
      <c r="EC65" s="25"/>
      <c r="ED65" s="24"/>
      <c r="EE65" s="24"/>
      <c r="EF65" s="25"/>
      <c r="EG65" s="24"/>
      <c r="EH65" s="24"/>
      <c r="EI65" s="25"/>
      <c r="EJ65" s="32"/>
      <c r="EK65" s="32"/>
      <c r="EL65" s="4"/>
      <c r="EM65" s="26"/>
      <c r="EN65" s="26"/>
      <c r="EO65" s="4"/>
      <c r="EP65" s="1"/>
      <c r="EQ65" s="1"/>
      <c r="ER65" s="4"/>
      <c r="ES65" s="1"/>
      <c r="ET65" s="1"/>
      <c r="EU65" s="4"/>
      <c r="EV65" s="1"/>
      <c r="EW65" s="1"/>
      <c r="EX65" s="4"/>
      <c r="EY65" s="120"/>
      <c r="EZ65" s="4"/>
      <c r="FA65" s="4"/>
      <c r="FB65" s="1"/>
      <c r="FC65" s="1"/>
      <c r="FD65" s="4"/>
      <c r="FE65" s="1"/>
      <c r="FF65" s="1"/>
      <c r="FG65" s="4"/>
      <c r="FH65" s="1"/>
      <c r="FI65" s="1"/>
      <c r="FJ65" s="4"/>
      <c r="FK65" s="2"/>
      <c r="FL65" s="4"/>
      <c r="FM65" s="4"/>
      <c r="FN65" s="1"/>
      <c r="FO65" s="1"/>
      <c r="FP65" s="4"/>
      <c r="FQ65" s="1"/>
      <c r="FR65" s="1"/>
      <c r="FS65" s="4"/>
      <c r="FT65" s="1"/>
      <c r="FU65" s="1"/>
      <c r="FV65" s="4"/>
      <c r="FW65" s="2"/>
      <c r="FX65" s="4"/>
      <c r="FY65" s="3"/>
      <c r="FZ65" s="4"/>
      <c r="GA65" s="4"/>
      <c r="GB65" s="4"/>
      <c r="GC65" s="4"/>
    </row>
    <row r="66" spans="1:185" x14ac:dyDescent="0.3">
      <c r="A66" s="4"/>
      <c r="B66" s="142"/>
      <c r="C66" s="136"/>
      <c r="D66" s="103" t="s">
        <v>234</v>
      </c>
      <c r="E66" s="44">
        <v>2</v>
      </c>
      <c r="F66" s="136"/>
      <c r="G66" s="3"/>
      <c r="H66" s="24"/>
      <c r="I66" s="24"/>
      <c r="J66" s="4"/>
      <c r="K66" s="1"/>
      <c r="L66" s="1"/>
      <c r="M66" s="4"/>
      <c r="N66" s="24"/>
      <c r="O66" s="24"/>
      <c r="P66" s="4"/>
      <c r="Q66" s="26">
        <f>(8752.2)*(106.3/90.5)</f>
        <v>10280.208397790057</v>
      </c>
      <c r="R66" s="26"/>
      <c r="S66" s="4"/>
      <c r="T66" s="24"/>
      <c r="U66" s="24"/>
      <c r="V66" s="20"/>
      <c r="W66" s="24"/>
      <c r="X66" s="24"/>
      <c r="Y66" s="4"/>
      <c r="Z66" s="24"/>
      <c r="AA66" s="24"/>
      <c r="AB66" s="4"/>
      <c r="AC66" s="1"/>
      <c r="AD66" s="1"/>
      <c r="AE66" s="4"/>
      <c r="AF66" s="1"/>
      <c r="AG66" s="1"/>
      <c r="AH66" s="4"/>
      <c r="AI66" s="1"/>
      <c r="AJ66" s="1"/>
      <c r="AK66" s="4"/>
      <c r="AL66" s="24"/>
      <c r="AM66" s="24"/>
      <c r="AN66" s="4"/>
      <c r="AO66" s="1"/>
      <c r="AP66" s="1"/>
      <c r="AQ66" s="4"/>
      <c r="AR66" s="1"/>
      <c r="AS66" s="1"/>
      <c r="AT66" s="4"/>
      <c r="AU66" s="24"/>
      <c r="AV66" s="24"/>
      <c r="AW66" s="4"/>
      <c r="AX66" s="1"/>
      <c r="AY66" s="1"/>
      <c r="AZ66" s="4"/>
      <c r="BA66" s="1"/>
      <c r="BB66" s="1"/>
      <c r="BC66" s="4"/>
      <c r="BD66" s="1"/>
      <c r="BE66" s="1"/>
      <c r="BF66" s="4"/>
      <c r="BG66" s="1"/>
      <c r="BH66" s="1"/>
      <c r="BI66" s="4"/>
      <c r="BJ66" s="1"/>
      <c r="BK66" s="1"/>
      <c r="BL66" s="4"/>
      <c r="BM66" s="1"/>
      <c r="BN66" s="1"/>
      <c r="BO66" s="4"/>
      <c r="BP66" s="24"/>
      <c r="BQ66" s="24"/>
      <c r="BR66" s="4"/>
      <c r="BS66" s="1"/>
      <c r="BT66" s="1"/>
      <c r="BU66" s="4"/>
      <c r="BV66" s="1"/>
      <c r="BW66" s="1"/>
      <c r="BX66" s="4"/>
      <c r="BY66" s="1"/>
      <c r="BZ66" s="1"/>
      <c r="CA66" s="4"/>
      <c r="CB66" s="1"/>
      <c r="CC66" s="1"/>
      <c r="CD66" s="4"/>
      <c r="CE66" s="1"/>
      <c r="CF66" s="1"/>
      <c r="CG66" s="4"/>
      <c r="CH66" s="26"/>
      <c r="CI66" s="26"/>
      <c r="CJ66" s="4"/>
      <c r="CK66" s="1"/>
      <c r="CL66" s="1"/>
      <c r="CM66" s="4"/>
      <c r="CN66" s="1"/>
      <c r="CO66" s="1"/>
      <c r="CP66" s="4"/>
      <c r="CQ66" s="28"/>
      <c r="CR66" s="4"/>
      <c r="CS66" s="3"/>
      <c r="CT66" s="15"/>
      <c r="CU66" s="15"/>
      <c r="CV66" s="4"/>
      <c r="CW66" s="15"/>
      <c r="CX66" s="15"/>
      <c r="CY66" s="4"/>
      <c r="CZ66" s="15"/>
      <c r="DA66" s="15"/>
      <c r="DB66" s="4"/>
      <c r="DC66" s="15"/>
      <c r="DD66" s="15"/>
      <c r="DE66" s="4"/>
      <c r="DF66" s="15"/>
      <c r="DG66" s="15"/>
      <c r="DH66" s="4"/>
      <c r="DI66" s="26"/>
      <c r="DJ66" s="26"/>
      <c r="DK66" s="4"/>
      <c r="DL66" s="1"/>
      <c r="DM66" s="1"/>
      <c r="DN66" s="4"/>
      <c r="DO66" s="1"/>
      <c r="DP66" s="1"/>
      <c r="DQ66" s="4"/>
      <c r="DR66" s="1"/>
      <c r="DS66" s="1"/>
      <c r="DT66" s="4"/>
      <c r="DU66" s="2"/>
      <c r="DV66" s="2"/>
      <c r="DW66" s="4"/>
      <c r="DX66" s="24"/>
      <c r="DY66" s="24"/>
      <c r="DZ66" s="25"/>
      <c r="EA66" s="24"/>
      <c r="EB66" s="24"/>
      <c r="EC66" s="25"/>
      <c r="ED66" s="24"/>
      <c r="EE66" s="24"/>
      <c r="EF66" s="25"/>
      <c r="EG66" s="24"/>
      <c r="EH66" s="24"/>
      <c r="EI66" s="25"/>
      <c r="EJ66" s="32"/>
      <c r="EK66" s="32"/>
      <c r="EL66" s="4"/>
      <c r="EM66" s="26"/>
      <c r="EN66" s="26"/>
      <c r="EO66" s="4"/>
      <c r="EP66" s="1"/>
      <c r="EQ66" s="1"/>
      <c r="ER66" s="4"/>
      <c r="ES66" s="1"/>
      <c r="ET66" s="1"/>
      <c r="EU66" s="4"/>
      <c r="EV66" s="1"/>
      <c r="EW66" s="1"/>
      <c r="EX66" s="4"/>
      <c r="EY66" s="120"/>
      <c r="EZ66" s="4"/>
      <c r="FA66" s="4"/>
      <c r="FB66" s="1"/>
      <c r="FC66" s="1"/>
      <c r="FD66" s="4"/>
      <c r="FE66" s="1"/>
      <c r="FF66" s="1"/>
      <c r="FG66" s="4"/>
      <c r="FH66" s="1"/>
      <c r="FI66" s="1"/>
      <c r="FJ66" s="4"/>
      <c r="FK66" s="2"/>
      <c r="FL66" s="4"/>
      <c r="FM66" s="4"/>
      <c r="FN66" s="1"/>
      <c r="FO66" s="1"/>
      <c r="FP66" s="4"/>
      <c r="FQ66" s="1"/>
      <c r="FR66" s="1"/>
      <c r="FS66" s="4"/>
      <c r="FT66" s="1"/>
      <c r="FU66" s="1"/>
      <c r="FV66" s="4"/>
      <c r="FW66" s="2"/>
      <c r="FX66" s="4"/>
      <c r="FY66" s="3"/>
      <c r="FZ66" s="4"/>
      <c r="GA66" s="4"/>
      <c r="GB66" s="4"/>
      <c r="GC66" s="4"/>
    </row>
    <row r="67" spans="1:185" x14ac:dyDescent="0.3">
      <c r="A67" s="4"/>
      <c r="B67" s="143"/>
      <c r="C67" s="136"/>
      <c r="D67" s="103" t="s">
        <v>235</v>
      </c>
      <c r="E67" s="44">
        <v>2</v>
      </c>
      <c r="F67" s="136"/>
      <c r="G67" s="3"/>
      <c r="H67" s="24"/>
      <c r="I67" s="24"/>
      <c r="J67" s="4"/>
      <c r="K67" s="1"/>
      <c r="L67" s="1"/>
      <c r="M67" s="4"/>
      <c r="N67" s="24"/>
      <c r="O67" s="24"/>
      <c r="P67" s="4"/>
      <c r="Q67" s="26">
        <f>(9701.7)*(106.3/90.5)</f>
        <v>11395.477458563537</v>
      </c>
      <c r="R67" s="26"/>
      <c r="S67" s="4"/>
      <c r="T67" s="24"/>
      <c r="U67" s="24"/>
      <c r="V67" s="20"/>
      <c r="W67" s="24"/>
      <c r="X67" s="24"/>
      <c r="Y67" s="4"/>
      <c r="Z67" s="24"/>
      <c r="AA67" s="24"/>
      <c r="AB67" s="4"/>
      <c r="AC67" s="1"/>
      <c r="AD67" s="1"/>
      <c r="AE67" s="4"/>
      <c r="AF67" s="1"/>
      <c r="AG67" s="1"/>
      <c r="AH67" s="4"/>
      <c r="AI67" s="1"/>
      <c r="AJ67" s="1"/>
      <c r="AK67" s="4"/>
      <c r="AL67" s="24"/>
      <c r="AM67" s="24"/>
      <c r="AN67" s="4"/>
      <c r="AO67" s="1"/>
      <c r="AP67" s="1"/>
      <c r="AQ67" s="4"/>
      <c r="AR67" s="1"/>
      <c r="AS67" s="1"/>
      <c r="AT67" s="4"/>
      <c r="AU67" s="24"/>
      <c r="AV67" s="24"/>
      <c r="AW67" s="4"/>
      <c r="AX67" s="1"/>
      <c r="AY67" s="1"/>
      <c r="AZ67" s="4"/>
      <c r="BA67" s="1"/>
      <c r="BB67" s="1"/>
      <c r="BC67" s="4"/>
      <c r="BD67" s="1"/>
      <c r="BE67" s="1"/>
      <c r="BF67" s="4"/>
      <c r="BG67" s="1"/>
      <c r="BH67" s="1"/>
      <c r="BI67" s="4"/>
      <c r="BJ67" s="1"/>
      <c r="BK67" s="1"/>
      <c r="BL67" s="4"/>
      <c r="BM67" s="1"/>
      <c r="BN67" s="1"/>
      <c r="BO67" s="4"/>
      <c r="BP67" s="24"/>
      <c r="BQ67" s="24"/>
      <c r="BR67" s="4"/>
      <c r="BS67" s="1"/>
      <c r="BT67" s="1"/>
      <c r="BU67" s="4"/>
      <c r="BV67" s="1"/>
      <c r="BW67" s="1"/>
      <c r="BX67" s="4"/>
      <c r="BY67" s="1"/>
      <c r="BZ67" s="1"/>
      <c r="CA67" s="4"/>
      <c r="CB67" s="1"/>
      <c r="CC67" s="1"/>
      <c r="CD67" s="4"/>
      <c r="CE67" s="1"/>
      <c r="CF67" s="1"/>
      <c r="CG67" s="4"/>
      <c r="CH67" s="26"/>
      <c r="CI67" s="26"/>
      <c r="CJ67" s="4"/>
      <c r="CK67" s="1"/>
      <c r="CL67" s="1"/>
      <c r="CM67" s="4"/>
      <c r="CN67" s="1"/>
      <c r="CO67" s="1"/>
      <c r="CP67" s="4"/>
      <c r="CQ67" s="28"/>
      <c r="CR67" s="4"/>
      <c r="CS67" s="3"/>
      <c r="CT67" s="15"/>
      <c r="CU67" s="15"/>
      <c r="CV67" s="4"/>
      <c r="CW67" s="15"/>
      <c r="CX67" s="15"/>
      <c r="CY67" s="4"/>
      <c r="CZ67" s="15"/>
      <c r="DA67" s="15"/>
      <c r="DB67" s="4"/>
      <c r="DC67" s="15"/>
      <c r="DD67" s="15"/>
      <c r="DE67" s="4"/>
      <c r="DF67" s="15"/>
      <c r="DG67" s="15"/>
      <c r="DH67" s="4"/>
      <c r="DI67" s="26"/>
      <c r="DJ67" s="26"/>
      <c r="DK67" s="4"/>
      <c r="DL67" s="1"/>
      <c r="DM67" s="1"/>
      <c r="DN67" s="4"/>
      <c r="DO67" s="1"/>
      <c r="DP67" s="1"/>
      <c r="DQ67" s="4"/>
      <c r="DR67" s="1"/>
      <c r="DS67" s="1"/>
      <c r="DT67" s="4"/>
      <c r="DU67" s="2"/>
      <c r="DV67" s="2"/>
      <c r="DW67" s="4"/>
      <c r="DX67" s="24"/>
      <c r="DY67" s="24"/>
      <c r="DZ67" s="25"/>
      <c r="EA67" s="24"/>
      <c r="EB67" s="24"/>
      <c r="EC67" s="25"/>
      <c r="ED67" s="24"/>
      <c r="EE67" s="24"/>
      <c r="EF67" s="25"/>
      <c r="EG67" s="24"/>
      <c r="EH67" s="24"/>
      <c r="EI67" s="25"/>
      <c r="EJ67" s="32"/>
      <c r="EK67" s="32"/>
      <c r="EL67" s="4"/>
      <c r="EM67" s="26"/>
      <c r="EN67" s="26"/>
      <c r="EO67" s="4"/>
      <c r="EP67" s="1"/>
      <c r="EQ67" s="1"/>
      <c r="ER67" s="4"/>
      <c r="ES67" s="1"/>
      <c r="ET67" s="1"/>
      <c r="EU67" s="4"/>
      <c r="EV67" s="1"/>
      <c r="EW67" s="1"/>
      <c r="EX67" s="4"/>
      <c r="EY67" s="120"/>
      <c r="EZ67" s="4"/>
      <c r="FA67" s="4"/>
      <c r="FB67" s="1"/>
      <c r="FC67" s="1"/>
      <c r="FD67" s="4"/>
      <c r="FE67" s="1"/>
      <c r="FF67" s="1"/>
      <c r="FG67" s="4"/>
      <c r="FH67" s="1"/>
      <c r="FI67" s="1"/>
      <c r="FJ67" s="4"/>
      <c r="FK67" s="2"/>
      <c r="FL67" s="4"/>
      <c r="FM67" s="4"/>
      <c r="FN67" s="1"/>
      <c r="FO67" s="1"/>
      <c r="FP67" s="4"/>
      <c r="FQ67" s="1"/>
      <c r="FR67" s="1"/>
      <c r="FS67" s="4"/>
      <c r="FT67" s="1"/>
      <c r="FU67" s="1"/>
      <c r="FV67" s="4"/>
      <c r="FW67" s="2"/>
      <c r="FX67" s="4"/>
      <c r="FY67" s="3"/>
      <c r="FZ67" s="4"/>
      <c r="GA67" s="4"/>
      <c r="GB67" s="4"/>
      <c r="GC67" s="4"/>
    </row>
    <row r="68" spans="1:185" x14ac:dyDescent="0.3">
      <c r="A68" s="4"/>
      <c r="B68" s="88"/>
      <c r="C68" s="88"/>
      <c r="D68" s="88"/>
      <c r="E68" s="88"/>
      <c r="F68" s="88"/>
      <c r="G68" s="3"/>
      <c r="H68" s="88"/>
      <c r="I68" s="88"/>
      <c r="J68" s="4"/>
      <c r="K68" s="88"/>
      <c r="L68" s="88"/>
      <c r="M68" s="4"/>
      <c r="N68" s="88"/>
      <c r="O68" s="88"/>
      <c r="P68" s="4"/>
      <c r="Q68" s="88"/>
      <c r="R68" s="88"/>
      <c r="S68" s="4"/>
      <c r="T68" s="88"/>
      <c r="U68" s="88"/>
      <c r="V68" s="20"/>
      <c r="W68" s="88"/>
      <c r="X68" s="88"/>
      <c r="Y68" s="4"/>
      <c r="Z68" s="88"/>
      <c r="AA68" s="88"/>
      <c r="AB68" s="4"/>
      <c r="AC68" s="88"/>
      <c r="AD68" s="88"/>
      <c r="AE68" s="4"/>
      <c r="AF68" s="88"/>
      <c r="AG68" s="88"/>
      <c r="AH68" s="4"/>
      <c r="AI68" s="88"/>
      <c r="AJ68" s="88"/>
      <c r="AK68" s="4"/>
      <c r="AL68" s="88"/>
      <c r="AM68" s="88"/>
      <c r="AN68" s="4"/>
      <c r="AO68" s="88"/>
      <c r="AP68" s="88"/>
      <c r="AQ68" s="4"/>
      <c r="AR68" s="88"/>
      <c r="AS68" s="88"/>
      <c r="AT68" s="4"/>
      <c r="AU68" s="88"/>
      <c r="AV68" s="88"/>
      <c r="AW68" s="4"/>
      <c r="AX68" s="88"/>
      <c r="AY68" s="88"/>
      <c r="AZ68" s="4"/>
      <c r="BA68" s="88"/>
      <c r="BB68" s="88"/>
      <c r="BC68" s="4"/>
      <c r="BD68" s="88"/>
      <c r="BE68" s="88"/>
      <c r="BF68" s="4"/>
      <c r="BG68" s="88"/>
      <c r="BH68" s="88"/>
      <c r="BI68" s="4"/>
      <c r="BJ68" s="88"/>
      <c r="BK68" s="88"/>
      <c r="BL68" s="4"/>
      <c r="BM68" s="88"/>
      <c r="BN68" s="88"/>
      <c r="BO68" s="4"/>
      <c r="BP68" s="88"/>
      <c r="BQ68" s="88"/>
      <c r="BR68" s="4"/>
      <c r="BS68" s="88"/>
      <c r="BT68" s="88"/>
      <c r="BU68" s="4"/>
      <c r="BV68" s="88"/>
      <c r="BW68" s="88"/>
      <c r="BX68" s="4"/>
      <c r="BY68" s="88"/>
      <c r="BZ68" s="88"/>
      <c r="CA68" s="4"/>
      <c r="CB68" s="88"/>
      <c r="CC68" s="88"/>
      <c r="CD68" s="4"/>
      <c r="CE68" s="88"/>
      <c r="CF68" s="88"/>
      <c r="CG68" s="4"/>
      <c r="CH68" s="88"/>
      <c r="CI68" s="88"/>
      <c r="CJ68" s="4"/>
      <c r="CK68" s="88"/>
      <c r="CL68" s="88"/>
      <c r="CM68" s="4"/>
      <c r="CN68" s="88"/>
      <c r="CO68" s="88"/>
      <c r="CP68" s="117"/>
      <c r="CQ68" s="88"/>
      <c r="CR68" s="117"/>
      <c r="CS68" s="3"/>
      <c r="CT68" s="88"/>
      <c r="CU68" s="88"/>
      <c r="CV68" s="4"/>
      <c r="CW68" s="88"/>
      <c r="CX68" s="88"/>
      <c r="CY68" s="4"/>
      <c r="CZ68" s="88"/>
      <c r="DA68" s="88"/>
      <c r="DB68" s="4"/>
      <c r="DC68" s="88"/>
      <c r="DD68" s="88"/>
      <c r="DE68" s="4"/>
      <c r="DF68" s="88"/>
      <c r="DG68" s="88"/>
      <c r="DH68" s="4"/>
      <c r="DI68" s="88"/>
      <c r="DJ68" s="88"/>
      <c r="DK68" s="4"/>
      <c r="DL68" s="88"/>
      <c r="DM68" s="88"/>
      <c r="DN68" s="4"/>
      <c r="DO68" s="88"/>
      <c r="DP68" s="88"/>
      <c r="DQ68" s="4"/>
      <c r="DR68" s="88"/>
      <c r="DS68" s="88"/>
      <c r="DT68" s="4"/>
      <c r="DU68" s="88"/>
      <c r="DV68" s="88"/>
      <c r="DW68" s="4"/>
      <c r="DX68" s="88"/>
      <c r="DY68" s="88"/>
      <c r="DZ68" s="25"/>
      <c r="EA68" s="88"/>
      <c r="EB68" s="88"/>
      <c r="EC68" s="25"/>
      <c r="ED68" s="88"/>
      <c r="EE68" s="88"/>
      <c r="EF68" s="25"/>
      <c r="EG68" s="88"/>
      <c r="EH68" s="88"/>
      <c r="EI68" s="25"/>
      <c r="EJ68" s="88"/>
      <c r="EK68" s="88"/>
      <c r="EL68" s="4"/>
      <c r="EM68" s="88"/>
      <c r="EN68" s="88"/>
      <c r="EO68" s="4"/>
      <c r="EP68" s="88"/>
      <c r="EQ68" s="88"/>
      <c r="ER68" s="4"/>
      <c r="ES68" s="88"/>
      <c r="ET68" s="88"/>
      <c r="EU68" s="4"/>
      <c r="EV68" s="88"/>
      <c r="EW68" s="88"/>
      <c r="EX68" s="117"/>
      <c r="EY68" s="88"/>
      <c r="EZ68" s="117"/>
      <c r="FA68" s="4"/>
      <c r="FB68" s="88"/>
      <c r="FC68" s="88"/>
      <c r="FD68" s="4"/>
      <c r="FE68" s="88"/>
      <c r="FF68" s="88"/>
      <c r="FG68" s="4"/>
      <c r="FH68" s="88"/>
      <c r="FI68" s="88"/>
      <c r="FJ68" s="117"/>
      <c r="FK68" s="88"/>
      <c r="FL68" s="117"/>
      <c r="FM68" s="4"/>
      <c r="FN68" s="88"/>
      <c r="FO68" s="88"/>
      <c r="FP68" s="4"/>
      <c r="FQ68" s="88"/>
      <c r="FR68" s="88"/>
      <c r="FS68" s="4"/>
      <c r="FT68" s="88"/>
      <c r="FU68" s="88"/>
      <c r="FV68" s="117"/>
      <c r="FW68" s="88"/>
      <c r="FX68" s="117"/>
      <c r="FY68" s="3"/>
      <c r="FZ68" s="4"/>
      <c r="GA68" s="4"/>
      <c r="GB68" s="4"/>
      <c r="GC68" s="4"/>
    </row>
    <row r="69" spans="1:185" ht="14" customHeight="1" x14ac:dyDescent="0.3">
      <c r="A69" s="4"/>
      <c r="B69" s="130" t="s">
        <v>236</v>
      </c>
      <c r="C69" s="139" t="s">
        <v>213</v>
      </c>
      <c r="D69" s="103" t="s">
        <v>244</v>
      </c>
      <c r="E69" s="44">
        <v>1</v>
      </c>
      <c r="F69" s="135">
        <v>2011</v>
      </c>
      <c r="G69" s="3"/>
      <c r="H69" s="24"/>
      <c r="I69" s="24"/>
      <c r="J69" s="4"/>
      <c r="K69" s="1"/>
      <c r="L69" s="1"/>
      <c r="M69" s="4"/>
      <c r="N69" s="24"/>
      <c r="O69" s="24"/>
      <c r="P69" s="4"/>
      <c r="Q69" s="26">
        <f>(267*Q3)*(105.9/93.4)</f>
        <v>396.58076017130622</v>
      </c>
      <c r="R69" s="26"/>
      <c r="S69" s="4"/>
      <c r="T69" s="24"/>
      <c r="U69" s="24"/>
      <c r="V69" s="20"/>
      <c r="W69" s="24"/>
      <c r="X69" s="24"/>
      <c r="Y69" s="4"/>
      <c r="Z69" s="24"/>
      <c r="AA69" s="24"/>
      <c r="AB69" s="4"/>
      <c r="AC69" s="1"/>
      <c r="AD69" s="1"/>
      <c r="AE69" s="4"/>
      <c r="AF69" s="1"/>
      <c r="AG69" s="1"/>
      <c r="AH69" s="4"/>
      <c r="AI69" s="1"/>
      <c r="AJ69" s="1"/>
      <c r="AK69" s="4"/>
      <c r="AL69" s="24"/>
      <c r="AM69" s="24"/>
      <c r="AN69" s="4"/>
      <c r="AO69" s="1"/>
      <c r="AP69" s="1"/>
      <c r="AQ69" s="4"/>
      <c r="AR69" s="1"/>
      <c r="AS69" s="1"/>
      <c r="AT69" s="4"/>
      <c r="AU69" s="24"/>
      <c r="AV69" s="24"/>
      <c r="AW69" s="4"/>
      <c r="AX69" s="1"/>
      <c r="AY69" s="1"/>
      <c r="AZ69" s="4"/>
      <c r="BA69" s="1"/>
      <c r="BB69" s="1"/>
      <c r="BC69" s="4"/>
      <c r="BD69" s="1"/>
      <c r="BE69" s="1"/>
      <c r="BF69" s="4"/>
      <c r="BG69" s="1"/>
      <c r="BH69" s="1"/>
      <c r="BI69" s="4"/>
      <c r="BJ69" s="1"/>
      <c r="BK69" s="1"/>
      <c r="BL69" s="4"/>
      <c r="BM69" s="1"/>
      <c r="BN69" s="1"/>
      <c r="BO69" s="4"/>
      <c r="BP69" s="24"/>
      <c r="BQ69" s="24"/>
      <c r="BR69" s="4"/>
      <c r="BS69" s="1"/>
      <c r="BT69" s="1"/>
      <c r="BU69" s="4"/>
      <c r="BV69" s="1"/>
      <c r="BW69" s="1"/>
      <c r="BX69" s="4"/>
      <c r="BY69" s="1"/>
      <c r="BZ69" s="1"/>
      <c r="CA69" s="4"/>
      <c r="CB69" s="1"/>
      <c r="CC69" s="1"/>
      <c r="CD69" s="4"/>
      <c r="CE69" s="1"/>
      <c r="CF69" s="1"/>
      <c r="CG69" s="4"/>
      <c r="CH69" s="26"/>
      <c r="CI69" s="26"/>
      <c r="CJ69" s="4"/>
      <c r="CK69" s="1"/>
      <c r="CL69" s="1"/>
      <c r="CM69" s="4"/>
      <c r="CN69" s="1"/>
      <c r="CO69" s="1"/>
      <c r="CP69" s="4"/>
      <c r="CQ69" s="28"/>
      <c r="CR69" s="4"/>
      <c r="CS69" s="3"/>
      <c r="CT69" s="15"/>
      <c r="CU69" s="15"/>
      <c r="CV69" s="4"/>
      <c r="CW69" s="15"/>
      <c r="CX69" s="15"/>
      <c r="CY69" s="4"/>
      <c r="CZ69" s="15"/>
      <c r="DA69" s="15"/>
      <c r="DB69" s="4"/>
      <c r="DC69" s="15"/>
      <c r="DD69" s="15"/>
      <c r="DE69" s="4"/>
      <c r="DF69" s="15"/>
      <c r="DG69" s="15"/>
      <c r="DH69" s="4"/>
      <c r="DI69" s="108">
        <f>0</f>
        <v>0</v>
      </c>
      <c r="DJ69" s="26"/>
      <c r="DK69" s="4"/>
      <c r="DL69" s="1"/>
      <c r="DM69" s="1"/>
      <c r="DN69" s="4"/>
      <c r="DO69" s="1"/>
      <c r="DP69" s="1"/>
      <c r="DQ69" s="4"/>
      <c r="DR69" s="1"/>
      <c r="DS69" s="1"/>
      <c r="DT69" s="4"/>
      <c r="DU69" s="107">
        <f>0</f>
        <v>0</v>
      </c>
      <c r="DV69" s="2"/>
      <c r="DW69" s="4"/>
      <c r="DX69" s="24"/>
      <c r="DY69" s="24"/>
      <c r="DZ69" s="25"/>
      <c r="EA69" s="24"/>
      <c r="EB69" s="24"/>
      <c r="EC69" s="25"/>
      <c r="ED69" s="24"/>
      <c r="EE69" s="24"/>
      <c r="EF69" s="25"/>
      <c r="EG69" s="24"/>
      <c r="EH69" s="24"/>
      <c r="EI69" s="25"/>
      <c r="EJ69" s="32"/>
      <c r="EK69" s="32"/>
      <c r="EL69" s="4"/>
      <c r="EM69" s="26">
        <f>0</f>
        <v>0</v>
      </c>
      <c r="EN69" s="26"/>
      <c r="EO69" s="4"/>
      <c r="EP69" s="110">
        <f>(4154*Q3)*(27040/23660)</f>
        <v>6219.1314285714279</v>
      </c>
      <c r="EQ69" s="1"/>
      <c r="ER69" s="4"/>
      <c r="ES69" s="1"/>
      <c r="ET69" s="1"/>
      <c r="EU69" s="4"/>
      <c r="EV69" s="109"/>
      <c r="EW69" s="1"/>
      <c r="EX69" s="4"/>
      <c r="EY69" s="120"/>
      <c r="EZ69" s="4"/>
      <c r="FA69" s="4"/>
      <c r="FB69" s="1"/>
      <c r="FC69" s="1"/>
      <c r="FD69" s="4"/>
      <c r="FE69" s="1"/>
      <c r="FF69" s="1"/>
      <c r="FG69" s="4"/>
      <c r="FH69" s="109"/>
      <c r="FI69" s="1"/>
      <c r="FJ69" s="4"/>
      <c r="FK69" s="2"/>
      <c r="FL69" s="4"/>
      <c r="FM69" s="4"/>
      <c r="FN69" s="12">
        <f>(608*Q3)*(27040/23660)</f>
        <v>910.26285714285711</v>
      </c>
      <c r="FO69" s="1"/>
      <c r="FP69" s="4"/>
      <c r="FQ69" s="12"/>
      <c r="FR69" s="1"/>
      <c r="FS69" s="4"/>
      <c r="FT69" s="1"/>
      <c r="FU69" s="1"/>
      <c r="FV69" s="4"/>
      <c r="FW69" s="2"/>
      <c r="FX69" s="4"/>
      <c r="FY69" s="3"/>
      <c r="FZ69" s="4"/>
      <c r="GA69" s="4"/>
      <c r="GB69" s="4"/>
      <c r="GC69" s="4"/>
    </row>
    <row r="70" spans="1:185" x14ac:dyDescent="0.3">
      <c r="A70" s="4"/>
      <c r="B70" s="130"/>
      <c r="C70" s="139"/>
      <c r="D70" s="106" t="s">
        <v>243</v>
      </c>
      <c r="E70" s="44">
        <v>1</v>
      </c>
      <c r="F70" s="135"/>
      <c r="G70" s="3"/>
      <c r="H70" s="24"/>
      <c r="I70" s="24"/>
      <c r="J70" s="4"/>
      <c r="K70" s="1"/>
      <c r="L70" s="1"/>
      <c r="M70" s="4"/>
      <c r="N70" s="24"/>
      <c r="O70" s="24"/>
      <c r="P70" s="4"/>
      <c r="Q70" s="26">
        <f>(665*Q3)*(105.9/93.4)</f>
        <v>987.73859743040691</v>
      </c>
      <c r="R70" s="26"/>
      <c r="S70" s="4"/>
      <c r="T70" s="24"/>
      <c r="U70" s="24"/>
      <c r="V70" s="20"/>
      <c r="W70" s="24"/>
      <c r="X70" s="24"/>
      <c r="Y70" s="4"/>
      <c r="Z70" s="24"/>
      <c r="AA70" s="24"/>
      <c r="AB70" s="4"/>
      <c r="AC70" s="1"/>
      <c r="AD70" s="1"/>
      <c r="AE70" s="4"/>
      <c r="AF70" s="1"/>
      <c r="AG70" s="1"/>
      <c r="AH70" s="4"/>
      <c r="AI70" s="1"/>
      <c r="AJ70" s="1"/>
      <c r="AK70" s="4"/>
      <c r="AL70" s="24"/>
      <c r="AM70" s="24"/>
      <c r="AN70" s="4"/>
      <c r="AO70" s="1"/>
      <c r="AP70" s="1"/>
      <c r="AQ70" s="4"/>
      <c r="AR70" s="1"/>
      <c r="AS70" s="1"/>
      <c r="AT70" s="4"/>
      <c r="AU70" s="24"/>
      <c r="AV70" s="24"/>
      <c r="AW70" s="4"/>
      <c r="AX70" s="1"/>
      <c r="AY70" s="1"/>
      <c r="AZ70" s="4"/>
      <c r="BA70" s="1"/>
      <c r="BB70" s="1"/>
      <c r="BC70" s="4"/>
      <c r="BD70" s="1"/>
      <c r="BE70" s="1"/>
      <c r="BF70" s="4"/>
      <c r="BG70" s="1"/>
      <c r="BH70" s="1"/>
      <c r="BI70" s="4"/>
      <c r="BJ70" s="1"/>
      <c r="BK70" s="1"/>
      <c r="BL70" s="4"/>
      <c r="BM70" s="1"/>
      <c r="BN70" s="1"/>
      <c r="BO70" s="4"/>
      <c r="BP70" s="24"/>
      <c r="BQ70" s="24"/>
      <c r="BR70" s="4"/>
      <c r="BS70" s="1"/>
      <c r="BT70" s="1"/>
      <c r="BU70" s="4"/>
      <c r="BV70" s="1"/>
      <c r="BW70" s="1"/>
      <c r="BX70" s="4"/>
      <c r="BY70" s="1"/>
      <c r="BZ70" s="1"/>
      <c r="CA70" s="4"/>
      <c r="CB70" s="1"/>
      <c r="CC70" s="1"/>
      <c r="CD70" s="4"/>
      <c r="CE70" s="1"/>
      <c r="CF70" s="1"/>
      <c r="CG70" s="4"/>
      <c r="CH70" s="26"/>
      <c r="CI70" s="26"/>
      <c r="CJ70" s="4"/>
      <c r="CK70" s="1"/>
      <c r="CL70" s="1"/>
      <c r="CM70" s="4"/>
      <c r="CN70" s="1"/>
      <c r="CO70" s="1"/>
      <c r="CP70" s="4"/>
      <c r="CQ70" s="28"/>
      <c r="CR70" s="4"/>
      <c r="CS70" s="3"/>
      <c r="CT70" s="15"/>
      <c r="CU70" s="15"/>
      <c r="CV70" s="4"/>
      <c r="CW70" s="15"/>
      <c r="CX70" s="15"/>
      <c r="CY70" s="4"/>
      <c r="CZ70" s="15"/>
      <c r="DA70" s="15"/>
      <c r="DB70" s="4"/>
      <c r="DC70" s="15"/>
      <c r="DD70" s="15"/>
      <c r="DE70" s="4"/>
      <c r="DF70" s="15"/>
      <c r="DG70" s="15"/>
      <c r="DH70" s="4"/>
      <c r="DI70" s="108">
        <f>(37*Q3)*(105.9/93.4)</f>
        <v>54.956884368308344</v>
      </c>
      <c r="DJ70" s="26"/>
      <c r="DK70" s="4"/>
      <c r="DL70" s="1"/>
      <c r="DM70" s="1"/>
      <c r="DN70" s="4"/>
      <c r="DO70" s="1"/>
      <c r="DP70" s="1"/>
      <c r="DQ70" s="4"/>
      <c r="DR70" s="1"/>
      <c r="DS70" s="1"/>
      <c r="DT70" s="4"/>
      <c r="DU70" s="107">
        <f>(2546*Q3)*(105.9/93.4)</f>
        <v>3781.6277730192719</v>
      </c>
      <c r="DV70" s="2"/>
      <c r="DW70" s="4"/>
      <c r="DX70" s="24"/>
      <c r="DY70" s="24"/>
      <c r="DZ70" s="25"/>
      <c r="EA70" s="24"/>
      <c r="EB70" s="24"/>
      <c r="EC70" s="25"/>
      <c r="ED70" s="24"/>
      <c r="EE70" s="24"/>
      <c r="EF70" s="25"/>
      <c r="EG70" s="24"/>
      <c r="EH70" s="24"/>
      <c r="EI70" s="25"/>
      <c r="EJ70" s="32"/>
      <c r="EK70" s="32"/>
      <c r="EL70" s="4"/>
      <c r="EM70" s="26">
        <f>(2256*Q3)*(105.9/93.4)</f>
        <v>3350.8846252676658</v>
      </c>
      <c r="EN70" s="26"/>
      <c r="EO70" s="4"/>
      <c r="EP70" s="110">
        <f>(4154*Q3)*(27040/23660)</f>
        <v>6219.1314285714279</v>
      </c>
      <c r="EQ70" s="1"/>
      <c r="ER70" s="4"/>
      <c r="ES70" s="1"/>
      <c r="ET70" s="1"/>
      <c r="EU70" s="4"/>
      <c r="EV70" s="109"/>
      <c r="EW70" s="1"/>
      <c r="EX70" s="4"/>
      <c r="EY70" s="120"/>
      <c r="EZ70" s="4"/>
      <c r="FA70" s="4"/>
      <c r="FB70" s="1"/>
      <c r="FC70" s="1"/>
      <c r="FD70" s="4"/>
      <c r="FE70" s="1"/>
      <c r="FF70" s="1"/>
      <c r="FG70" s="4"/>
      <c r="FH70" s="109"/>
      <c r="FI70" s="1"/>
      <c r="FJ70" s="4"/>
      <c r="FK70" s="2"/>
      <c r="FL70" s="4"/>
      <c r="FM70" s="4"/>
      <c r="FN70" s="12">
        <f>(608*Q3)*(27040/23660)</f>
        <v>910.26285714285711</v>
      </c>
      <c r="FO70" s="1"/>
      <c r="FP70" s="4"/>
      <c r="FQ70" s="12"/>
      <c r="FR70" s="1"/>
      <c r="FS70" s="4"/>
      <c r="FT70" s="1"/>
      <c r="FU70" s="1"/>
      <c r="FV70" s="4"/>
      <c r="FW70" s="2"/>
      <c r="FX70" s="4"/>
      <c r="FY70" s="3"/>
      <c r="FZ70" s="4"/>
      <c r="GA70" s="4"/>
      <c r="GB70" s="4"/>
      <c r="GC70" s="4"/>
    </row>
    <row r="71" spans="1:185" ht="14" customHeight="1" x14ac:dyDescent="0.3">
      <c r="A71" s="4"/>
      <c r="B71" s="130"/>
      <c r="C71" s="139"/>
      <c r="D71" s="106" t="s">
        <v>242</v>
      </c>
      <c r="E71" s="44">
        <v>1</v>
      </c>
      <c r="F71" s="135"/>
      <c r="G71" s="3"/>
      <c r="H71" s="24"/>
      <c r="I71" s="24"/>
      <c r="J71" s="4"/>
      <c r="K71" s="1"/>
      <c r="L71" s="1"/>
      <c r="M71" s="4"/>
      <c r="N71" s="24"/>
      <c r="O71" s="24"/>
      <c r="P71" s="4"/>
      <c r="Q71" s="26">
        <f>(988*Q3)*(105.9/93.4)</f>
        <v>1467.4973447537473</v>
      </c>
      <c r="R71" s="26"/>
      <c r="S71" s="4"/>
      <c r="T71" s="24"/>
      <c r="U71" s="24"/>
      <c r="V71" s="20"/>
      <c r="W71" s="24"/>
      <c r="X71" s="24"/>
      <c r="Y71" s="4"/>
      <c r="Z71" s="24"/>
      <c r="AA71" s="24"/>
      <c r="AB71" s="4"/>
      <c r="AC71" s="1"/>
      <c r="AD71" s="1"/>
      <c r="AE71" s="4"/>
      <c r="AF71" s="1"/>
      <c r="AG71" s="1"/>
      <c r="AH71" s="4"/>
      <c r="AI71" s="1"/>
      <c r="AJ71" s="1"/>
      <c r="AK71" s="4"/>
      <c r="AL71" s="24"/>
      <c r="AM71" s="24"/>
      <c r="AN71" s="4"/>
      <c r="AO71" s="1"/>
      <c r="AP71" s="1"/>
      <c r="AQ71" s="4"/>
      <c r="AR71" s="1"/>
      <c r="AS71" s="1"/>
      <c r="AT71" s="4"/>
      <c r="AU71" s="24"/>
      <c r="AV71" s="24"/>
      <c r="AW71" s="4"/>
      <c r="AX71" s="1"/>
      <c r="AY71" s="1"/>
      <c r="AZ71" s="4"/>
      <c r="BA71" s="1"/>
      <c r="BB71" s="1"/>
      <c r="BC71" s="4"/>
      <c r="BD71" s="1"/>
      <c r="BE71" s="1"/>
      <c r="BF71" s="4"/>
      <c r="BG71" s="1"/>
      <c r="BH71" s="1"/>
      <c r="BI71" s="4"/>
      <c r="BJ71" s="1"/>
      <c r="BK71" s="1"/>
      <c r="BL71" s="4"/>
      <c r="BM71" s="1"/>
      <c r="BN71" s="1"/>
      <c r="BO71" s="4"/>
      <c r="BP71" s="24"/>
      <c r="BQ71" s="24"/>
      <c r="BR71" s="4"/>
      <c r="BS71" s="1"/>
      <c r="BT71" s="1"/>
      <c r="BU71" s="4"/>
      <c r="BV71" s="1"/>
      <c r="BW71" s="1"/>
      <c r="BX71" s="4"/>
      <c r="BY71" s="1"/>
      <c r="BZ71" s="1"/>
      <c r="CA71" s="4"/>
      <c r="CB71" s="1"/>
      <c r="CC71" s="1"/>
      <c r="CD71" s="4"/>
      <c r="CE71" s="1"/>
      <c r="CF71" s="1"/>
      <c r="CG71" s="4"/>
      <c r="CH71" s="26"/>
      <c r="CI71" s="26"/>
      <c r="CJ71" s="4"/>
      <c r="CK71" s="1"/>
      <c r="CL71" s="1"/>
      <c r="CM71" s="4"/>
      <c r="CN71" s="1"/>
      <c r="CO71" s="1"/>
      <c r="CP71" s="4"/>
      <c r="CQ71" s="28"/>
      <c r="CR71" s="4"/>
      <c r="CS71" s="3"/>
      <c r="CT71" s="15"/>
      <c r="CU71" s="15"/>
      <c r="CV71" s="4"/>
      <c r="CW71" s="15"/>
      <c r="CX71" s="15"/>
      <c r="CY71" s="4"/>
      <c r="CZ71" s="15"/>
      <c r="DA71" s="15"/>
      <c r="DB71" s="4"/>
      <c r="DC71" s="15"/>
      <c r="DD71" s="15"/>
      <c r="DE71" s="4"/>
      <c r="DF71" s="15"/>
      <c r="DG71" s="15"/>
      <c r="DH71" s="4"/>
      <c r="DI71" s="108">
        <f>(328*Q3)*(105.9/93.4)</f>
        <v>487.18535331905775</v>
      </c>
      <c r="DJ71" s="26"/>
      <c r="DK71" s="4"/>
      <c r="DL71" s="1"/>
      <c r="DM71" s="1"/>
      <c r="DN71" s="4"/>
      <c r="DO71" s="1"/>
      <c r="DP71" s="1"/>
      <c r="DQ71" s="4"/>
      <c r="DR71" s="1"/>
      <c r="DS71" s="1"/>
      <c r="DT71" s="4"/>
      <c r="DU71" s="107">
        <f>(11831*Q3)*(105.9/93.4)</f>
        <v>17572.835107066381</v>
      </c>
      <c r="DV71" s="2"/>
      <c r="DW71" s="4"/>
      <c r="DX71" s="24"/>
      <c r="DY71" s="24"/>
      <c r="DZ71" s="25"/>
      <c r="EA71" s="24"/>
      <c r="EB71" s="24"/>
      <c r="EC71" s="25"/>
      <c r="ED71" s="24"/>
      <c r="EE71" s="24"/>
      <c r="EF71" s="25"/>
      <c r="EG71" s="24"/>
      <c r="EH71" s="24"/>
      <c r="EI71" s="25"/>
      <c r="EJ71" s="32"/>
      <c r="EK71" s="32"/>
      <c r="EL71" s="4"/>
      <c r="EM71" s="26">
        <f>(7936*Q3)*(105.9/93.45)</f>
        <v>11781.202182985553</v>
      </c>
      <c r="EN71" s="26"/>
      <c r="EO71" s="4"/>
      <c r="EP71" s="110">
        <f>(4524*Q3)*(27040/23660)</f>
        <v>6773.0742857142859</v>
      </c>
      <c r="EQ71" s="1"/>
      <c r="ER71" s="4"/>
      <c r="ES71" s="1"/>
      <c r="ET71" s="1"/>
      <c r="EU71" s="4"/>
      <c r="EV71" s="109"/>
      <c r="EW71" s="1"/>
      <c r="EX71" s="4"/>
      <c r="EY71" s="120"/>
      <c r="EZ71" s="4"/>
      <c r="FA71" s="4"/>
      <c r="FB71" s="1"/>
      <c r="FC71" s="1"/>
      <c r="FD71" s="4"/>
      <c r="FE71" s="1"/>
      <c r="FF71" s="1"/>
      <c r="FG71" s="4"/>
      <c r="FH71" s="109"/>
      <c r="FI71" s="1"/>
      <c r="FJ71" s="4"/>
      <c r="FK71" s="2"/>
      <c r="FL71" s="4"/>
      <c r="FM71" s="4"/>
      <c r="FN71" s="12">
        <f>(5314*Q3)*(27040/23660)</f>
        <v>7955.8171428571422</v>
      </c>
      <c r="FO71" s="1"/>
      <c r="FP71" s="4"/>
      <c r="FQ71" s="12"/>
      <c r="FR71" s="1"/>
      <c r="FS71" s="4"/>
      <c r="FT71" s="1"/>
      <c r="FU71" s="1"/>
      <c r="FV71" s="4"/>
      <c r="FW71" s="2"/>
      <c r="FX71" s="4"/>
      <c r="FY71" s="3"/>
      <c r="FZ71" s="4"/>
      <c r="GA71" s="4"/>
      <c r="GB71" s="4"/>
      <c r="GC71" s="4"/>
    </row>
    <row r="72" spans="1:185" ht="14" customHeight="1" x14ac:dyDescent="0.3">
      <c r="A72" s="4"/>
      <c r="B72" s="130"/>
      <c r="C72" s="139"/>
      <c r="D72" s="106" t="s">
        <v>241</v>
      </c>
      <c r="E72" s="44">
        <v>1</v>
      </c>
      <c r="F72" s="135"/>
      <c r="G72" s="3"/>
      <c r="H72" s="24"/>
      <c r="I72" s="24"/>
      <c r="J72" s="4"/>
      <c r="K72" s="1"/>
      <c r="L72" s="1"/>
      <c r="M72" s="4"/>
      <c r="N72" s="24"/>
      <c r="O72" s="24"/>
      <c r="P72" s="4"/>
      <c r="Q72" s="26">
        <f>(1818*Q3)*(105.9/93.4)</f>
        <v>2700.3139400428263</v>
      </c>
      <c r="R72" s="26"/>
      <c r="S72" s="4"/>
      <c r="T72" s="24"/>
      <c r="U72" s="24"/>
      <c r="V72" s="20"/>
      <c r="W72" s="24"/>
      <c r="X72" s="24"/>
      <c r="Y72" s="4"/>
      <c r="Z72" s="24"/>
      <c r="AA72" s="24"/>
      <c r="AB72" s="4"/>
      <c r="AC72" s="1"/>
      <c r="AD72" s="1"/>
      <c r="AE72" s="4"/>
      <c r="AF72" s="1"/>
      <c r="AG72" s="1"/>
      <c r="AH72" s="4"/>
      <c r="AI72" s="1"/>
      <c r="AJ72" s="1"/>
      <c r="AK72" s="4"/>
      <c r="AL72" s="24"/>
      <c r="AM72" s="24"/>
      <c r="AN72" s="4"/>
      <c r="AO72" s="1"/>
      <c r="AP72" s="1"/>
      <c r="AQ72" s="4"/>
      <c r="AR72" s="1"/>
      <c r="AS72" s="1"/>
      <c r="AT72" s="4"/>
      <c r="AU72" s="24"/>
      <c r="AV72" s="24"/>
      <c r="AW72" s="4"/>
      <c r="AX72" s="1"/>
      <c r="AY72" s="1"/>
      <c r="AZ72" s="4"/>
      <c r="BA72" s="1"/>
      <c r="BB72" s="1"/>
      <c r="BC72" s="4"/>
      <c r="BD72" s="1"/>
      <c r="BE72" s="1"/>
      <c r="BF72" s="4"/>
      <c r="BG72" s="1"/>
      <c r="BH72" s="1"/>
      <c r="BI72" s="4"/>
      <c r="BJ72" s="1"/>
      <c r="BK72" s="1"/>
      <c r="BL72" s="4"/>
      <c r="BM72" s="1"/>
      <c r="BN72" s="1"/>
      <c r="BO72" s="4"/>
      <c r="BP72" s="24"/>
      <c r="BQ72" s="24"/>
      <c r="BR72" s="4"/>
      <c r="BS72" s="1"/>
      <c r="BT72" s="1"/>
      <c r="BU72" s="4"/>
      <c r="BV72" s="1"/>
      <c r="BW72" s="1"/>
      <c r="BX72" s="4"/>
      <c r="BY72" s="1"/>
      <c r="BZ72" s="1"/>
      <c r="CA72" s="4"/>
      <c r="CB72" s="1"/>
      <c r="CC72" s="1"/>
      <c r="CD72" s="4"/>
      <c r="CE72" s="1"/>
      <c r="CF72" s="1"/>
      <c r="CG72" s="4"/>
      <c r="CH72" s="26"/>
      <c r="CI72" s="26"/>
      <c r="CJ72" s="4"/>
      <c r="CK72" s="1"/>
      <c r="CL72" s="1"/>
      <c r="CM72" s="4"/>
      <c r="CN72" s="1"/>
      <c r="CO72" s="1"/>
      <c r="CP72" s="4"/>
      <c r="CQ72" s="28"/>
      <c r="CR72" s="4"/>
      <c r="CS72" s="3"/>
      <c r="CT72" s="15"/>
      <c r="CU72" s="15"/>
      <c r="CV72" s="4"/>
      <c r="CW72" s="15"/>
      <c r="CX72" s="15"/>
      <c r="CY72" s="4"/>
      <c r="CZ72" s="15"/>
      <c r="DA72" s="15"/>
      <c r="DB72" s="4"/>
      <c r="DC72" s="15"/>
      <c r="DD72" s="15"/>
      <c r="DE72" s="4"/>
      <c r="DF72" s="15"/>
      <c r="DG72" s="15"/>
      <c r="DH72" s="4"/>
      <c r="DI72" s="108">
        <f>(1240*Q3)*(105.9/93.4)</f>
        <v>1841.7982869379014</v>
      </c>
      <c r="DJ72" s="26"/>
      <c r="DK72" s="4"/>
      <c r="DL72" s="1"/>
      <c r="DM72" s="1"/>
      <c r="DN72" s="4"/>
      <c r="DO72" s="1"/>
      <c r="DP72" s="1"/>
      <c r="DQ72" s="4"/>
      <c r="DR72" s="1"/>
      <c r="DS72" s="1"/>
      <c r="DT72" s="4"/>
      <c r="DU72" s="107">
        <f>(32774*Q3)*(105.9/93.45)</f>
        <v>48653.871011235955</v>
      </c>
      <c r="DV72" s="2"/>
      <c r="DW72" s="4"/>
      <c r="DX72" s="24"/>
      <c r="DY72" s="24"/>
      <c r="DZ72" s="25"/>
      <c r="EA72" s="24"/>
      <c r="EB72" s="24"/>
      <c r="EC72" s="25"/>
      <c r="ED72" s="24"/>
      <c r="EE72" s="24"/>
      <c r="EF72" s="25"/>
      <c r="EG72" s="24"/>
      <c r="EH72" s="24"/>
      <c r="EI72" s="25"/>
      <c r="EJ72" s="32"/>
      <c r="EK72" s="32"/>
      <c r="EL72" s="4"/>
      <c r="EM72" s="26">
        <f>(475*Q3)*(105.9/93.4)</f>
        <v>705.52756959314775</v>
      </c>
      <c r="EN72" s="26"/>
      <c r="EO72" s="4"/>
      <c r="EP72" s="110">
        <f>(4427*Q3)*(27040/23660)</f>
        <v>6627.8514285714282</v>
      </c>
      <c r="EQ72" s="1"/>
      <c r="ER72" s="4"/>
      <c r="ES72" s="15"/>
      <c r="ET72" s="1"/>
      <c r="EU72" s="4"/>
      <c r="EV72" s="109"/>
      <c r="EW72" s="1"/>
      <c r="EX72" s="4"/>
      <c r="EY72" s="120"/>
      <c r="EZ72" s="4"/>
      <c r="FA72" s="4"/>
      <c r="FB72" s="1"/>
      <c r="FC72" s="1"/>
      <c r="FD72" s="4"/>
      <c r="FE72" s="1"/>
      <c r="FF72" s="1"/>
      <c r="FG72" s="4"/>
      <c r="FH72" s="109"/>
      <c r="FI72" s="1"/>
      <c r="FJ72" s="4"/>
      <c r="FK72" s="2"/>
      <c r="FL72" s="4"/>
      <c r="FM72" s="4"/>
      <c r="FN72" s="12">
        <f>(5314*Q3)*(27040/23660)</f>
        <v>7955.8171428571422</v>
      </c>
      <c r="FO72" s="1"/>
      <c r="FP72" s="4"/>
      <c r="FQ72" s="12"/>
      <c r="FR72" s="1"/>
      <c r="FS72" s="4"/>
      <c r="FT72" s="1"/>
      <c r="FU72" s="1"/>
      <c r="FV72" s="4"/>
      <c r="FW72" s="2"/>
      <c r="FX72" s="4"/>
      <c r="FY72" s="3"/>
      <c r="FZ72" s="4"/>
      <c r="GA72" s="4"/>
      <c r="GB72" s="4"/>
      <c r="GC72" s="4"/>
    </row>
    <row r="73" spans="1:185" ht="14" customHeight="1" x14ac:dyDescent="0.3">
      <c r="A73" s="4"/>
      <c r="B73" s="130"/>
      <c r="C73" s="139"/>
      <c r="D73" s="106" t="s">
        <v>239</v>
      </c>
      <c r="E73" s="44">
        <v>1</v>
      </c>
      <c r="F73" s="135"/>
      <c r="G73" s="3"/>
      <c r="H73" s="24"/>
      <c r="I73" s="24"/>
      <c r="J73" s="4"/>
      <c r="K73" s="1"/>
      <c r="L73" s="1"/>
      <c r="M73" s="4"/>
      <c r="N73" s="24"/>
      <c r="O73" s="24"/>
      <c r="P73" s="4"/>
      <c r="Q73" s="26">
        <f>(12933)*(106.3/92.9)</f>
        <v>14798.470398277717</v>
      </c>
      <c r="R73" s="26"/>
      <c r="S73" s="4"/>
      <c r="T73" s="24"/>
      <c r="U73" s="24"/>
      <c r="V73" s="20"/>
      <c r="W73" s="24"/>
      <c r="X73" s="24"/>
      <c r="Y73" s="4"/>
      <c r="Z73" s="24"/>
      <c r="AA73" s="24"/>
      <c r="AB73" s="4"/>
      <c r="AC73" s="1"/>
      <c r="AD73" s="1"/>
      <c r="AE73" s="4"/>
      <c r="AF73" s="1"/>
      <c r="AG73" s="1"/>
      <c r="AH73" s="4"/>
      <c r="AI73" s="1"/>
      <c r="AJ73" s="1"/>
      <c r="AK73" s="4"/>
      <c r="AL73" s="24"/>
      <c r="AM73" s="24"/>
      <c r="AN73" s="4"/>
      <c r="AO73" s="1"/>
      <c r="AP73" s="1"/>
      <c r="AQ73" s="4"/>
      <c r="AR73" s="1"/>
      <c r="AS73" s="1"/>
      <c r="AT73" s="4"/>
      <c r="AU73" s="24"/>
      <c r="AV73" s="24"/>
      <c r="AW73" s="4"/>
      <c r="AX73" s="1"/>
      <c r="AY73" s="1"/>
      <c r="AZ73" s="4"/>
      <c r="BA73" s="1"/>
      <c r="BB73" s="1"/>
      <c r="BC73" s="4"/>
      <c r="BD73" s="1"/>
      <c r="BE73" s="1"/>
      <c r="BF73" s="4"/>
      <c r="BG73" s="1"/>
      <c r="BH73" s="1"/>
      <c r="BI73" s="4"/>
      <c r="BJ73" s="1"/>
      <c r="BK73" s="1"/>
      <c r="BL73" s="4"/>
      <c r="BM73" s="1"/>
      <c r="BN73" s="1"/>
      <c r="BO73" s="4"/>
      <c r="BP73" s="24"/>
      <c r="BQ73" s="24"/>
      <c r="BR73" s="4"/>
      <c r="BS73" s="1"/>
      <c r="BT73" s="1"/>
      <c r="BU73" s="4"/>
      <c r="BV73" s="1"/>
      <c r="BW73" s="1"/>
      <c r="BX73" s="4"/>
      <c r="BY73" s="1"/>
      <c r="BZ73" s="1"/>
      <c r="CA73" s="4"/>
      <c r="CB73" s="1"/>
      <c r="CC73" s="1"/>
      <c r="CD73" s="4"/>
      <c r="CE73" s="1"/>
      <c r="CF73" s="1"/>
      <c r="CG73" s="4"/>
      <c r="CH73" s="26"/>
      <c r="CI73" s="26"/>
      <c r="CJ73" s="4"/>
      <c r="CK73" s="1"/>
      <c r="CL73" s="1"/>
      <c r="CM73" s="4"/>
      <c r="CN73" s="1"/>
      <c r="CO73" s="1"/>
      <c r="CP73" s="4"/>
      <c r="CQ73" s="28"/>
      <c r="CR73" s="4"/>
      <c r="CS73" s="3"/>
      <c r="CT73" s="15"/>
      <c r="CU73" s="15"/>
      <c r="CV73" s="4"/>
      <c r="CW73" s="15"/>
      <c r="CX73" s="15"/>
      <c r="CY73" s="4"/>
      <c r="CZ73" s="15"/>
      <c r="DA73" s="15"/>
      <c r="DB73" s="4"/>
      <c r="DC73" s="15"/>
      <c r="DD73" s="15"/>
      <c r="DE73" s="4"/>
      <c r="DF73" s="15"/>
      <c r="DG73" s="15"/>
      <c r="DH73" s="4"/>
      <c r="DI73" s="108">
        <f>(1903)*(106.3/92.9)</f>
        <v>2177.4908503767492</v>
      </c>
      <c r="DJ73" s="26"/>
      <c r="DK73" s="4"/>
      <c r="DL73" s="1"/>
      <c r="DM73" s="1"/>
      <c r="DN73" s="4"/>
      <c r="DO73" s="1"/>
      <c r="DP73" s="1"/>
      <c r="DQ73" s="4"/>
      <c r="DR73" s="1"/>
      <c r="DS73" s="1"/>
      <c r="DT73" s="4"/>
      <c r="DU73" s="107">
        <f>(62920)*(106.3/92.9)</f>
        <v>71995.651237890197</v>
      </c>
      <c r="DV73" s="2"/>
      <c r="DW73" s="4"/>
      <c r="DX73" s="24"/>
      <c r="DY73" s="24"/>
      <c r="DZ73" s="25"/>
      <c r="EA73" s="24"/>
      <c r="EB73" s="24"/>
      <c r="EC73" s="25"/>
      <c r="ED73" s="24"/>
      <c r="EE73" s="24"/>
      <c r="EF73" s="25"/>
      <c r="EG73" s="24"/>
      <c r="EH73" s="24"/>
      <c r="EI73" s="25"/>
      <c r="EJ73" s="32"/>
      <c r="EK73" s="32"/>
      <c r="EL73" s="4"/>
      <c r="EM73" s="26">
        <f>(11387)*(106.3/92.9)</f>
        <v>13029.473627556512</v>
      </c>
      <c r="EN73" s="26"/>
      <c r="EO73" s="4"/>
      <c r="EP73" s="110"/>
      <c r="EQ73" s="1"/>
      <c r="ER73" s="4"/>
      <c r="ES73" s="15"/>
      <c r="ET73" s="1"/>
      <c r="EU73" s="4"/>
      <c r="EV73" s="109"/>
      <c r="EW73" s="1"/>
      <c r="EX73" s="4"/>
      <c r="EY73" s="120"/>
      <c r="EZ73" s="4"/>
      <c r="FA73" s="4"/>
      <c r="FB73" s="1"/>
      <c r="FC73" s="1"/>
      <c r="FD73" s="4"/>
      <c r="FE73" s="1"/>
      <c r="FF73" s="1"/>
      <c r="FG73" s="4"/>
      <c r="FH73" s="109"/>
      <c r="FI73" s="1"/>
      <c r="FJ73" s="4"/>
      <c r="FK73" s="2"/>
      <c r="FL73" s="4"/>
      <c r="FM73" s="4"/>
      <c r="FN73" s="12">
        <f>(18720)*(20924/17034)</f>
        <v>22995.026417752732</v>
      </c>
      <c r="FO73" s="1"/>
      <c r="FP73" s="4"/>
      <c r="FQ73" s="12"/>
      <c r="FR73" s="1"/>
      <c r="FS73" s="4"/>
      <c r="FT73" s="1"/>
      <c r="FU73" s="1"/>
      <c r="FV73" s="4"/>
      <c r="FW73" s="2"/>
      <c r="FX73" s="4"/>
      <c r="FY73" s="3"/>
      <c r="FZ73" s="4"/>
      <c r="GA73" s="4"/>
      <c r="GB73" s="4"/>
      <c r="GC73" s="4"/>
    </row>
    <row r="74" spans="1:185" ht="14" customHeight="1" x14ac:dyDescent="0.3">
      <c r="A74" s="4"/>
      <c r="B74" s="130"/>
      <c r="C74" s="139"/>
      <c r="D74" s="106" t="s">
        <v>240</v>
      </c>
      <c r="E74" s="44">
        <v>1</v>
      </c>
      <c r="F74" s="135"/>
      <c r="G74" s="3"/>
      <c r="H74" s="24"/>
      <c r="I74" s="24"/>
      <c r="J74" s="4"/>
      <c r="K74" s="1"/>
      <c r="L74" s="1"/>
      <c r="M74" s="4"/>
      <c r="N74" s="24"/>
      <c r="O74" s="24"/>
      <c r="P74" s="4"/>
      <c r="Q74" s="26">
        <f>(18106)*(106.3/92.94)</f>
        <v>20708.7131482677</v>
      </c>
      <c r="R74" s="26"/>
      <c r="S74" s="4"/>
      <c r="T74" s="24"/>
      <c r="U74" s="24"/>
      <c r="V74" s="20"/>
      <c r="W74" s="24"/>
      <c r="X74" s="24"/>
      <c r="Y74" s="4"/>
      <c r="Z74" s="24"/>
      <c r="AA74" s="24"/>
      <c r="AB74" s="4"/>
      <c r="AC74" s="1"/>
      <c r="AD74" s="1"/>
      <c r="AE74" s="4"/>
      <c r="AF74" s="1"/>
      <c r="AG74" s="1"/>
      <c r="AH74" s="4"/>
      <c r="AI74" s="1"/>
      <c r="AJ74" s="1"/>
      <c r="AK74" s="4"/>
      <c r="AL74" s="24"/>
      <c r="AM74" s="24"/>
      <c r="AN74" s="4"/>
      <c r="AO74" s="1"/>
      <c r="AP74" s="1"/>
      <c r="AQ74" s="4"/>
      <c r="AR74" s="1"/>
      <c r="AS74" s="1"/>
      <c r="AT74" s="4"/>
      <c r="AU74" s="24"/>
      <c r="AV74" s="24"/>
      <c r="AW74" s="4"/>
      <c r="AX74" s="1"/>
      <c r="AY74" s="1"/>
      <c r="AZ74" s="4"/>
      <c r="BA74" s="1"/>
      <c r="BB74" s="1"/>
      <c r="BC74" s="4"/>
      <c r="BD74" s="1"/>
      <c r="BE74" s="1"/>
      <c r="BF74" s="4"/>
      <c r="BG74" s="1"/>
      <c r="BH74" s="1"/>
      <c r="BI74" s="4"/>
      <c r="BJ74" s="1"/>
      <c r="BK74" s="1"/>
      <c r="BL74" s="4"/>
      <c r="BM74" s="1"/>
      <c r="BN74" s="1"/>
      <c r="BO74" s="4"/>
      <c r="BP74" s="24"/>
      <c r="BQ74" s="24"/>
      <c r="BR74" s="4"/>
      <c r="BS74" s="1"/>
      <c r="BT74" s="1"/>
      <c r="BU74" s="4"/>
      <c r="BV74" s="1"/>
      <c r="BW74" s="1"/>
      <c r="BX74" s="4"/>
      <c r="BY74" s="1"/>
      <c r="BZ74" s="1"/>
      <c r="CA74" s="4"/>
      <c r="CB74" s="1"/>
      <c r="CC74" s="1"/>
      <c r="CD74" s="4"/>
      <c r="CE74" s="1"/>
      <c r="CF74" s="1"/>
      <c r="CG74" s="4"/>
      <c r="CH74" s="26"/>
      <c r="CI74" s="26"/>
      <c r="CJ74" s="4"/>
      <c r="CK74" s="1"/>
      <c r="CL74" s="1"/>
      <c r="CM74" s="4"/>
      <c r="CN74" s="1"/>
      <c r="CO74" s="1"/>
      <c r="CP74" s="4"/>
      <c r="CQ74" s="28"/>
      <c r="CR74" s="4"/>
      <c r="CS74" s="3"/>
      <c r="CT74" s="15"/>
      <c r="CU74" s="15"/>
      <c r="CV74" s="4"/>
      <c r="CW74" s="15"/>
      <c r="CX74" s="15"/>
      <c r="CY74" s="4"/>
      <c r="CZ74" s="15"/>
      <c r="DA74" s="15"/>
      <c r="DB74" s="4"/>
      <c r="DC74" s="15"/>
      <c r="DD74" s="15"/>
      <c r="DE74" s="4"/>
      <c r="DF74" s="15"/>
      <c r="DG74" s="15"/>
      <c r="DH74" s="4"/>
      <c r="DI74" s="108">
        <f>(9516)*(106.3/92.9)</f>
        <v>10888.598493003228</v>
      </c>
      <c r="DJ74" s="26"/>
      <c r="DK74" s="4"/>
      <c r="DL74" s="1"/>
      <c r="DM74" s="1"/>
      <c r="DN74" s="4"/>
      <c r="DO74" s="1"/>
      <c r="DP74" s="1"/>
      <c r="DQ74" s="4"/>
      <c r="DR74" s="1"/>
      <c r="DS74" s="1"/>
      <c r="DT74" s="4"/>
      <c r="DU74" s="107">
        <f>(27961)*(106.3/92.9)</f>
        <v>31994.125941872979</v>
      </c>
      <c r="DV74" s="2"/>
      <c r="DW74" s="4"/>
      <c r="DX74" s="24"/>
      <c r="DY74" s="24"/>
      <c r="DZ74" s="25"/>
      <c r="EA74" s="24"/>
      <c r="EB74" s="24"/>
      <c r="EC74" s="25"/>
      <c r="ED74" s="24"/>
      <c r="EE74" s="24"/>
      <c r="EF74" s="25"/>
      <c r="EG74" s="24"/>
      <c r="EH74" s="24"/>
      <c r="EI74" s="25"/>
      <c r="EJ74" s="32"/>
      <c r="EK74" s="32"/>
      <c r="EL74" s="4"/>
      <c r="EM74" s="26">
        <f>(11387)*(106.3/92.9)</f>
        <v>13029.473627556512</v>
      </c>
      <c r="EN74" s="26"/>
      <c r="EO74" s="4"/>
      <c r="EP74" s="110"/>
      <c r="EQ74" s="1"/>
      <c r="ER74" s="4"/>
      <c r="ES74" s="15"/>
      <c r="ET74" s="1"/>
      <c r="EU74" s="4"/>
      <c r="EV74" s="109"/>
      <c r="EW74" s="1"/>
      <c r="EX74" s="4"/>
      <c r="EY74" s="120"/>
      <c r="EZ74" s="4"/>
      <c r="FA74" s="4"/>
      <c r="FB74" s="1"/>
      <c r="FC74" s="1"/>
      <c r="FD74" s="4"/>
      <c r="FE74" s="1"/>
      <c r="FF74" s="1"/>
      <c r="FG74" s="4"/>
      <c r="FH74" s="109"/>
      <c r="FI74" s="1"/>
      <c r="FJ74" s="4"/>
      <c r="FK74" s="2"/>
      <c r="FL74" s="4"/>
      <c r="FM74" s="4"/>
      <c r="FN74" s="12">
        <f>(18720)*(20924/17034)</f>
        <v>22995.026417752732</v>
      </c>
      <c r="FO74" s="1"/>
      <c r="FP74" s="4"/>
      <c r="FQ74" s="12"/>
      <c r="FR74" s="1"/>
      <c r="FS74" s="4"/>
      <c r="FT74" s="1"/>
      <c r="FU74" s="1"/>
      <c r="FV74" s="4"/>
      <c r="FW74" s="2"/>
      <c r="FX74" s="4"/>
      <c r="FY74" s="3"/>
      <c r="FZ74" s="4"/>
      <c r="GA74" s="19"/>
      <c r="GB74" s="19"/>
      <c r="GC74" s="4"/>
    </row>
    <row r="75" spans="1:185" x14ac:dyDescent="0.3">
      <c r="A75" s="4"/>
      <c r="B75" s="130"/>
      <c r="C75" s="139"/>
      <c r="D75" s="106" t="s">
        <v>237</v>
      </c>
      <c r="E75" s="44">
        <v>2</v>
      </c>
      <c r="F75" s="135"/>
      <c r="G75" s="3"/>
      <c r="H75" s="24"/>
      <c r="I75" s="24"/>
      <c r="J75" s="4"/>
      <c r="K75" s="1"/>
      <c r="L75" s="1"/>
      <c r="M75" s="4"/>
      <c r="N75" s="24"/>
      <c r="O75" s="24"/>
      <c r="P75" s="4"/>
      <c r="Q75" s="26">
        <f>(5142*Q3)*(105.9/93.4)</f>
        <v>7637.5216059957174</v>
      </c>
      <c r="R75" s="26"/>
      <c r="S75" s="4"/>
      <c r="T75" s="24"/>
      <c r="U75" s="24"/>
      <c r="V75" s="20"/>
      <c r="W75" s="24"/>
      <c r="X75" s="24"/>
      <c r="Y75" s="4"/>
      <c r="Z75" s="24"/>
      <c r="AA75" s="24"/>
      <c r="AB75" s="4"/>
      <c r="AC75" s="1"/>
      <c r="AD75" s="1"/>
      <c r="AE75" s="4"/>
      <c r="AF75" s="1"/>
      <c r="AG75" s="1"/>
      <c r="AH75" s="4"/>
      <c r="AI75" s="1"/>
      <c r="AJ75" s="1"/>
      <c r="AK75" s="4"/>
      <c r="AL75" s="24"/>
      <c r="AM75" s="24"/>
      <c r="AN75" s="4"/>
      <c r="AO75" s="1"/>
      <c r="AP75" s="1"/>
      <c r="AQ75" s="4"/>
      <c r="AR75" s="1"/>
      <c r="AS75" s="1"/>
      <c r="AT75" s="4"/>
      <c r="AU75" s="24"/>
      <c r="AV75" s="24"/>
      <c r="AW75" s="4"/>
      <c r="AX75" s="1"/>
      <c r="AY75" s="1"/>
      <c r="AZ75" s="4"/>
      <c r="BA75" s="1"/>
      <c r="BB75" s="1"/>
      <c r="BC75" s="4"/>
      <c r="BD75" s="1"/>
      <c r="BE75" s="1"/>
      <c r="BF75" s="4"/>
      <c r="BG75" s="1"/>
      <c r="BH75" s="1"/>
      <c r="BI75" s="4"/>
      <c r="BJ75" s="1"/>
      <c r="BK75" s="1"/>
      <c r="BL75" s="4"/>
      <c r="BM75" s="1"/>
      <c r="BN75" s="1"/>
      <c r="BO75" s="4"/>
      <c r="BP75" s="24"/>
      <c r="BQ75" s="24"/>
      <c r="BR75" s="4"/>
      <c r="BS75" s="1"/>
      <c r="BT75" s="1"/>
      <c r="BU75" s="4"/>
      <c r="BV75" s="1"/>
      <c r="BW75" s="1"/>
      <c r="BX75" s="4"/>
      <c r="BY75" s="1"/>
      <c r="BZ75" s="1"/>
      <c r="CA75" s="4"/>
      <c r="CB75" s="1"/>
      <c r="CC75" s="1"/>
      <c r="CD75" s="4"/>
      <c r="CE75" s="1"/>
      <c r="CF75" s="1"/>
      <c r="CG75" s="4"/>
      <c r="CH75" s="26"/>
      <c r="CI75" s="26"/>
      <c r="CJ75" s="4"/>
      <c r="CK75" s="1"/>
      <c r="CL75" s="1"/>
      <c r="CM75" s="4"/>
      <c r="CN75" s="1"/>
      <c r="CO75" s="1"/>
      <c r="CP75" s="4"/>
      <c r="CQ75" s="28"/>
      <c r="CR75" s="4"/>
      <c r="CS75" s="3"/>
      <c r="CT75" s="15"/>
      <c r="CU75" s="15"/>
      <c r="CV75" s="4"/>
      <c r="CW75" s="15"/>
      <c r="CX75" s="15"/>
      <c r="CY75" s="4"/>
      <c r="CZ75" s="15"/>
      <c r="DA75" s="15"/>
      <c r="DB75" s="4"/>
      <c r="DC75" s="15"/>
      <c r="DD75" s="15"/>
      <c r="DE75" s="4"/>
      <c r="DF75" s="15"/>
      <c r="DG75" s="15"/>
      <c r="DH75" s="4"/>
      <c r="DI75" s="26">
        <f>(41512*Q3)*(105.9/93.42)</f>
        <v>61645.4533076429</v>
      </c>
      <c r="DJ75" s="26"/>
      <c r="DK75" s="4"/>
      <c r="DL75" s="1"/>
      <c r="DM75" s="1"/>
      <c r="DN75" s="4"/>
      <c r="DO75" s="1"/>
      <c r="DP75" s="1"/>
      <c r="DQ75" s="4"/>
      <c r="DR75" s="1"/>
      <c r="DS75" s="1"/>
      <c r="DT75" s="4"/>
      <c r="DU75" s="107">
        <f>(2619*Q3)*(105.9/93.45)</f>
        <v>3887.9748635634032</v>
      </c>
      <c r="DV75" s="2"/>
      <c r="DW75" s="4"/>
      <c r="DX75" s="24"/>
      <c r="DY75" s="24"/>
      <c r="DZ75" s="25"/>
      <c r="EA75" s="24"/>
      <c r="EB75" s="24"/>
      <c r="EC75" s="25"/>
      <c r="ED75" s="24"/>
      <c r="EE75" s="24"/>
      <c r="EF75" s="25"/>
      <c r="EG75" s="24"/>
      <c r="EH75" s="24"/>
      <c r="EI75" s="25"/>
      <c r="EJ75" s="32"/>
      <c r="EK75" s="32"/>
      <c r="EL75" s="4"/>
      <c r="EM75" s="26">
        <f>(2871*Q3)*(105.9/93.4)</f>
        <v>4264.3571627408992</v>
      </c>
      <c r="EN75" s="26"/>
      <c r="EO75" s="4"/>
      <c r="EP75" s="111">
        <f>(5671*Q3)*(27040/23660)</f>
        <v>8490.2971428571418</v>
      </c>
      <c r="EQ75" s="1"/>
      <c r="ER75" s="4"/>
      <c r="ES75" s="15"/>
      <c r="ET75" s="1"/>
      <c r="EU75" s="4"/>
      <c r="EV75" s="109">
        <f>(290*Q3)*(27040/23660)</f>
        <v>434.17142857142858</v>
      </c>
      <c r="EW75" s="1"/>
      <c r="EX75" s="4"/>
      <c r="EY75" s="120"/>
      <c r="EZ75" s="4"/>
      <c r="FA75" s="4"/>
      <c r="FB75" s="1"/>
      <c r="FC75" s="1"/>
      <c r="FD75" s="4"/>
      <c r="FE75" s="1"/>
      <c r="FF75" s="1"/>
      <c r="FG75" s="4"/>
      <c r="FH75" s="109">
        <f>(873*Q3)*(105.9/93.4)</f>
        <v>1296.6854068522484</v>
      </c>
      <c r="FI75" s="1"/>
      <c r="FJ75" s="4"/>
      <c r="FK75" s="2"/>
      <c r="FL75" s="4"/>
      <c r="FM75" s="4"/>
      <c r="FN75" s="12">
        <f>(1477*Q3)*(27040/23660)</f>
        <v>2211.2800000000002</v>
      </c>
      <c r="FO75" s="1"/>
      <c r="FP75" s="4"/>
      <c r="FQ75" s="12">
        <f>(25644*Q3)*(27040/23660)</f>
        <v>38392.731428571424</v>
      </c>
      <c r="FR75" s="1"/>
      <c r="FS75" s="4"/>
      <c r="FT75" s="1"/>
      <c r="FU75" s="1"/>
      <c r="FV75" s="4"/>
      <c r="FW75" s="2"/>
      <c r="FX75" s="4"/>
      <c r="FY75" s="3"/>
      <c r="FZ75" s="4"/>
      <c r="GA75" s="19"/>
      <c r="GB75" s="4"/>
      <c r="GC75" s="4"/>
    </row>
    <row r="76" spans="1:185" x14ac:dyDescent="0.3">
      <c r="A76" s="4"/>
      <c r="B76" s="130"/>
      <c r="C76" s="139"/>
      <c r="D76" s="106" t="s">
        <v>238</v>
      </c>
      <c r="E76" s="44">
        <v>2</v>
      </c>
      <c r="F76" s="135"/>
      <c r="G76" s="3"/>
      <c r="H76" s="24"/>
      <c r="I76" s="24"/>
      <c r="J76" s="4"/>
      <c r="K76" s="1"/>
      <c r="L76" s="1"/>
      <c r="M76" s="4"/>
      <c r="N76" s="24"/>
      <c r="O76" s="24"/>
      <c r="P76" s="4"/>
      <c r="Q76" s="26">
        <f>(27159)*(106.3/92.9)</f>
        <v>31076.44456404736</v>
      </c>
      <c r="R76" s="26"/>
      <c r="S76" s="4"/>
      <c r="T76" s="24"/>
      <c r="U76" s="24"/>
      <c r="V76" s="20"/>
      <c r="W76" s="24"/>
      <c r="X76" s="24"/>
      <c r="Y76" s="4"/>
      <c r="Z76" s="24"/>
      <c r="AA76" s="24"/>
      <c r="AB76" s="4"/>
      <c r="AC76" s="1"/>
      <c r="AD76" s="1"/>
      <c r="AE76" s="4"/>
      <c r="AF76" s="1"/>
      <c r="AG76" s="1"/>
      <c r="AH76" s="4"/>
      <c r="AI76" s="1"/>
      <c r="AJ76" s="1"/>
      <c r="AK76" s="4"/>
      <c r="AL76" s="24"/>
      <c r="AM76" s="24"/>
      <c r="AN76" s="4"/>
      <c r="AO76" s="1"/>
      <c r="AP76" s="1"/>
      <c r="AQ76" s="4"/>
      <c r="AR76" s="1"/>
      <c r="AS76" s="1"/>
      <c r="AT76" s="4"/>
      <c r="AU76" s="24"/>
      <c r="AV76" s="24"/>
      <c r="AW76" s="4"/>
      <c r="AX76" s="1"/>
      <c r="AY76" s="1"/>
      <c r="AZ76" s="4"/>
      <c r="BA76" s="1"/>
      <c r="BB76" s="1"/>
      <c r="BC76" s="4"/>
      <c r="BD76" s="1"/>
      <c r="BE76" s="1"/>
      <c r="BF76" s="4"/>
      <c r="BG76" s="1"/>
      <c r="BH76" s="1"/>
      <c r="BI76" s="4"/>
      <c r="BJ76" s="1"/>
      <c r="BK76" s="1"/>
      <c r="BL76" s="4"/>
      <c r="BM76" s="1"/>
      <c r="BN76" s="1"/>
      <c r="BO76" s="4"/>
      <c r="BP76" s="24"/>
      <c r="BQ76" s="24"/>
      <c r="BR76" s="4"/>
      <c r="BS76" s="1"/>
      <c r="BT76" s="1"/>
      <c r="BU76" s="4"/>
      <c r="BV76" s="1"/>
      <c r="BW76" s="1"/>
      <c r="BX76" s="4"/>
      <c r="BY76" s="1"/>
      <c r="BZ76" s="1"/>
      <c r="CA76" s="4"/>
      <c r="CB76" s="1"/>
      <c r="CC76" s="1"/>
      <c r="CD76" s="4"/>
      <c r="CE76" s="1"/>
      <c r="CF76" s="1"/>
      <c r="CG76" s="4"/>
      <c r="CH76" s="26"/>
      <c r="CI76" s="26"/>
      <c r="CJ76" s="4"/>
      <c r="CK76" s="1"/>
      <c r="CL76" s="1"/>
      <c r="CM76" s="4"/>
      <c r="CN76" s="1"/>
      <c r="CO76" s="1"/>
      <c r="CP76" s="4"/>
      <c r="CQ76" s="28"/>
      <c r="CR76" s="4"/>
      <c r="CS76" s="3"/>
      <c r="CT76" s="15"/>
      <c r="CU76" s="15"/>
      <c r="CV76" s="4"/>
      <c r="CW76" s="15"/>
      <c r="CX76" s="15"/>
      <c r="CY76" s="4"/>
      <c r="CZ76" s="15"/>
      <c r="DA76" s="15"/>
      <c r="DB76" s="4"/>
      <c r="DC76" s="15"/>
      <c r="DD76" s="15"/>
      <c r="DE76" s="4"/>
      <c r="DF76" s="15"/>
      <c r="DG76" s="15"/>
      <c r="DH76" s="4"/>
      <c r="DI76" s="26">
        <f>(36161)*(106.3/92.9)</f>
        <v>41376.903121636162</v>
      </c>
      <c r="DJ76" s="26"/>
      <c r="DK76" s="4"/>
      <c r="DL76" s="1"/>
      <c r="DM76" s="1"/>
      <c r="DN76" s="4"/>
      <c r="DO76" s="1"/>
      <c r="DP76" s="1"/>
      <c r="DQ76" s="4"/>
      <c r="DR76" s="1"/>
      <c r="DS76" s="1"/>
      <c r="DT76" s="4"/>
      <c r="DU76" s="107"/>
      <c r="DV76" s="2"/>
      <c r="DW76" s="4"/>
      <c r="DX76" s="24"/>
      <c r="DY76" s="24"/>
      <c r="DZ76" s="25"/>
      <c r="EA76" s="24"/>
      <c r="EB76" s="24"/>
      <c r="EC76" s="25"/>
      <c r="ED76" s="24"/>
      <c r="EE76" s="24"/>
      <c r="EF76" s="25"/>
      <c r="EG76" s="24"/>
      <c r="EH76" s="24"/>
      <c r="EI76" s="25"/>
      <c r="EJ76" s="32"/>
      <c r="EK76" s="32"/>
      <c r="EL76" s="4"/>
      <c r="EM76" s="26">
        <f>(11387)*(106.3/92.9)</f>
        <v>13029.473627556512</v>
      </c>
      <c r="EN76" s="26"/>
      <c r="EO76" s="4"/>
      <c r="EP76" s="110"/>
      <c r="EQ76" s="1"/>
      <c r="ER76" s="4"/>
      <c r="ES76" s="15"/>
      <c r="ET76" s="1"/>
      <c r="EU76" s="4"/>
      <c r="EV76" s="109">
        <f>(705)*(20924/17034)</f>
        <v>865.99859105318785</v>
      </c>
      <c r="EW76" s="1"/>
      <c r="EX76" s="4"/>
      <c r="EY76" s="120"/>
      <c r="EZ76" s="4"/>
      <c r="FA76" s="4"/>
      <c r="FB76" s="1"/>
      <c r="FC76" s="1"/>
      <c r="FD76" s="4"/>
      <c r="FE76" s="1"/>
      <c r="FF76" s="1"/>
      <c r="FG76" s="4"/>
      <c r="FH76" s="109"/>
      <c r="FI76" s="1"/>
      <c r="FJ76" s="4"/>
      <c r="FK76" s="2"/>
      <c r="FL76" s="4"/>
      <c r="FM76" s="4"/>
      <c r="FN76" s="12">
        <f>(1896)*(20924/17034)</f>
        <v>2328.9834448749561</v>
      </c>
      <c r="FO76" s="1"/>
      <c r="FP76" s="4"/>
      <c r="FQ76" s="12">
        <f>(10718)*(20924/17034)</f>
        <v>13165.635317600094</v>
      </c>
      <c r="FR76" s="1"/>
      <c r="FS76" s="4"/>
      <c r="FT76" s="1"/>
      <c r="FU76" s="1"/>
      <c r="FV76" s="4"/>
      <c r="FW76" s="2"/>
      <c r="FX76" s="4"/>
      <c r="FY76" s="3"/>
      <c r="FZ76" s="4"/>
      <c r="GA76" s="19"/>
      <c r="GB76" s="19"/>
      <c r="GC76" s="4"/>
    </row>
    <row r="77" spans="1:185" x14ac:dyDescent="0.3">
      <c r="A77" s="4"/>
      <c r="B77" s="4"/>
      <c r="C77" s="4"/>
      <c r="D77" s="4"/>
      <c r="E77" s="4"/>
      <c r="F77" s="4"/>
      <c r="G77" s="3"/>
      <c r="H77" s="4"/>
      <c r="I77" s="4"/>
      <c r="J77" s="4"/>
      <c r="K77" s="4"/>
      <c r="L77" s="4"/>
      <c r="M77" s="4"/>
      <c r="N77" s="4"/>
      <c r="O77" s="4"/>
      <c r="P77" s="4"/>
      <c r="Q77" s="4"/>
      <c r="R77" s="4"/>
      <c r="S77" s="4"/>
      <c r="T77" s="4"/>
      <c r="U77" s="4"/>
      <c r="V77" s="20"/>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3"/>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3"/>
      <c r="FZ77" s="19"/>
      <c r="GA77" s="19"/>
      <c r="GB77" s="19"/>
      <c r="GC77" s="4"/>
    </row>
    <row r="78" spans="1:185" x14ac:dyDescent="0.3">
      <c r="A78" s="4"/>
      <c r="B78" s="4"/>
      <c r="C78" s="4"/>
      <c r="D78" s="4"/>
      <c r="E78" s="4"/>
      <c r="F78" s="4"/>
      <c r="G78" s="3"/>
      <c r="H78" s="4"/>
      <c r="I78" s="4"/>
      <c r="J78" s="4"/>
      <c r="K78" s="4"/>
      <c r="L78" s="4"/>
      <c r="M78" s="4"/>
      <c r="N78" s="4"/>
      <c r="O78" s="4"/>
      <c r="P78" s="4"/>
      <c r="Q78" s="19"/>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19"/>
      <c r="CI78" s="4"/>
      <c r="CJ78" s="4"/>
      <c r="CK78" s="4"/>
      <c r="CL78" s="4"/>
      <c r="CM78" s="4"/>
      <c r="CN78" s="4"/>
      <c r="CO78" s="4"/>
      <c r="CP78" s="4"/>
      <c r="CQ78" s="4"/>
      <c r="CR78" s="4"/>
      <c r="CS78" s="112"/>
      <c r="CT78" s="4"/>
      <c r="CU78" s="4"/>
      <c r="CV78" s="4"/>
      <c r="CW78" s="4"/>
      <c r="CX78" s="4"/>
      <c r="CY78" s="4"/>
      <c r="CZ78" s="4"/>
      <c r="DA78" s="4"/>
      <c r="DB78" s="4"/>
      <c r="DC78" s="4"/>
      <c r="DD78" s="4"/>
      <c r="DE78" s="4"/>
      <c r="DF78" s="4"/>
      <c r="DG78" s="4"/>
      <c r="DH78" s="4"/>
      <c r="DI78" s="19"/>
      <c r="DJ78" s="4"/>
      <c r="DK78" s="4"/>
      <c r="DL78" s="4"/>
      <c r="DM78" s="4"/>
      <c r="DN78" s="4"/>
      <c r="DO78" s="4"/>
      <c r="DP78" s="4"/>
      <c r="DQ78" s="4"/>
      <c r="DR78" s="4"/>
      <c r="DS78" s="4"/>
      <c r="DT78" s="4"/>
      <c r="DU78" s="19"/>
      <c r="DV78" s="4"/>
      <c r="DW78" s="4"/>
      <c r="DX78" s="4"/>
      <c r="DY78" s="4"/>
      <c r="DZ78" s="4"/>
      <c r="EA78" s="4"/>
      <c r="EB78" s="4"/>
      <c r="EC78" s="4"/>
      <c r="ED78" s="4"/>
      <c r="EE78" s="4"/>
      <c r="EF78" s="4"/>
      <c r="EG78" s="4"/>
      <c r="EH78" s="4"/>
      <c r="EI78" s="4"/>
      <c r="EJ78" s="4"/>
      <c r="EK78" s="4"/>
      <c r="EL78" s="4"/>
      <c r="EM78" s="19"/>
      <c r="EN78" s="4"/>
      <c r="EO78" s="4"/>
      <c r="EP78" s="4"/>
      <c r="EQ78" s="4"/>
      <c r="ER78" s="4"/>
      <c r="ES78" s="4"/>
      <c r="ET78" s="4"/>
      <c r="EU78" s="4"/>
      <c r="EV78" s="4"/>
      <c r="EW78" s="4"/>
      <c r="EX78" s="4"/>
      <c r="EY78" s="4"/>
      <c r="EZ78" s="4"/>
      <c r="FA78" s="19"/>
      <c r="FB78" s="4"/>
      <c r="FC78" s="4"/>
      <c r="FD78" s="4"/>
      <c r="FE78" s="4"/>
      <c r="FF78" s="4"/>
      <c r="FG78" s="4"/>
      <c r="FH78" s="4"/>
      <c r="FI78" s="4"/>
      <c r="FJ78" s="4"/>
      <c r="FK78" s="4"/>
      <c r="FL78" s="4"/>
      <c r="FM78" s="19"/>
      <c r="FN78" s="4"/>
      <c r="FO78" s="4"/>
      <c r="FP78" s="4"/>
      <c r="FQ78" s="4"/>
      <c r="FR78" s="4"/>
      <c r="FS78" s="4"/>
      <c r="FT78" s="4"/>
      <c r="FU78" s="19"/>
      <c r="FV78" s="19"/>
      <c r="FW78" s="19"/>
      <c r="FX78" s="19"/>
      <c r="FY78" s="3"/>
      <c r="FZ78" s="19"/>
      <c r="GA78" s="19"/>
      <c r="GB78" s="19"/>
      <c r="GC78" s="4"/>
    </row>
    <row r="79" spans="1:185" x14ac:dyDescent="0.3">
      <c r="A79" s="4"/>
      <c r="B79" s="3"/>
      <c r="C79" s="3"/>
      <c r="D79" s="3"/>
      <c r="E79" s="23"/>
      <c r="F79" s="3"/>
      <c r="G79" s="3"/>
      <c r="H79" s="3"/>
      <c r="I79" s="3"/>
      <c r="J79" s="31"/>
      <c r="K79" s="3"/>
      <c r="L79" s="3"/>
      <c r="M79" s="31"/>
      <c r="N79" s="3"/>
      <c r="O79" s="3"/>
      <c r="P79" s="31"/>
      <c r="Q79" s="112"/>
      <c r="R79" s="3"/>
      <c r="S79" s="31"/>
      <c r="T79" s="3"/>
      <c r="U79" s="3"/>
      <c r="V79" s="31"/>
      <c r="W79" s="3"/>
      <c r="X79" s="3"/>
      <c r="Y79" s="31"/>
      <c r="Z79" s="3"/>
      <c r="AA79" s="3"/>
      <c r="AB79" s="31"/>
      <c r="AC79" s="3"/>
      <c r="AD79" s="3"/>
      <c r="AE79" s="31"/>
      <c r="AF79" s="3"/>
      <c r="AG79" s="3"/>
      <c r="AH79" s="31"/>
      <c r="AI79" s="3"/>
      <c r="AJ79" s="3"/>
      <c r="AK79" s="31"/>
      <c r="AL79" s="3"/>
      <c r="AM79" s="3"/>
      <c r="AN79" s="31"/>
      <c r="AO79" s="3"/>
      <c r="AP79" s="3"/>
      <c r="AQ79" s="31"/>
      <c r="AR79" s="3"/>
      <c r="AS79" s="3"/>
      <c r="AT79" s="31"/>
      <c r="AU79" s="3"/>
      <c r="AV79" s="3"/>
      <c r="AW79" s="31"/>
      <c r="AX79" s="3"/>
      <c r="AY79" s="3"/>
      <c r="AZ79" s="31"/>
      <c r="BA79" s="3"/>
      <c r="BB79" s="3"/>
      <c r="BC79" s="31"/>
      <c r="BD79" s="3"/>
      <c r="BE79" s="3"/>
      <c r="BF79" s="31"/>
      <c r="BG79" s="3"/>
      <c r="BH79" s="3"/>
      <c r="BI79" s="31"/>
      <c r="BJ79" s="3"/>
      <c r="BK79" s="3"/>
      <c r="BL79" s="31"/>
      <c r="BM79" s="3"/>
      <c r="BN79" s="3"/>
      <c r="BO79" s="31"/>
      <c r="BP79" s="3"/>
      <c r="BQ79" s="3"/>
      <c r="BR79" s="31"/>
      <c r="BS79" s="3"/>
      <c r="BT79" s="3"/>
      <c r="BU79" s="31"/>
      <c r="BV79" s="3"/>
      <c r="BW79" s="3"/>
      <c r="BX79" s="31"/>
      <c r="BY79" s="3"/>
      <c r="BZ79" s="3"/>
      <c r="CA79" s="31"/>
      <c r="CB79" s="3"/>
      <c r="CC79" s="3"/>
      <c r="CD79" s="31"/>
      <c r="CE79" s="3"/>
      <c r="CF79" s="3"/>
      <c r="CG79" s="31"/>
      <c r="CH79" s="112"/>
      <c r="CI79" s="3"/>
      <c r="CJ79" s="31"/>
      <c r="CK79" s="3"/>
      <c r="CL79" s="3"/>
      <c r="CM79" s="31"/>
      <c r="CN79" s="3"/>
      <c r="CO79" s="3"/>
      <c r="CP79" s="3"/>
      <c r="CQ79" s="3"/>
      <c r="CR79" s="3"/>
      <c r="CS79" s="112"/>
      <c r="CT79" s="3"/>
      <c r="CU79" s="3"/>
      <c r="CV79" s="31"/>
      <c r="CW79" s="3"/>
      <c r="CX79" s="3"/>
      <c r="CY79" s="31"/>
      <c r="CZ79" s="3"/>
      <c r="DA79" s="3"/>
      <c r="DB79" s="31"/>
      <c r="DC79" s="3"/>
      <c r="DD79" s="3"/>
      <c r="DE79" s="31"/>
      <c r="DF79" s="3"/>
      <c r="DG79" s="3"/>
      <c r="DH79" s="31"/>
      <c r="DI79" s="112"/>
      <c r="DJ79" s="3"/>
      <c r="DK79" s="31"/>
      <c r="DL79" s="3"/>
      <c r="DM79" s="3"/>
      <c r="DN79" s="31"/>
      <c r="DO79" s="3"/>
      <c r="DP79" s="3"/>
      <c r="DQ79" s="31"/>
      <c r="DR79" s="3"/>
      <c r="DS79" s="3"/>
      <c r="DT79" s="31"/>
      <c r="DU79" s="3"/>
      <c r="DV79" s="3"/>
      <c r="DW79" s="31"/>
      <c r="DX79" s="3"/>
      <c r="DY79" s="3"/>
      <c r="DZ79" s="31"/>
      <c r="EA79" s="3"/>
      <c r="EB79" s="3"/>
      <c r="EC79" s="31"/>
      <c r="ED79" s="3"/>
      <c r="EE79" s="3"/>
      <c r="EF79" s="31"/>
      <c r="EG79" s="3"/>
      <c r="EH79" s="3"/>
      <c r="EI79" s="31"/>
      <c r="EJ79" s="3"/>
      <c r="EK79" s="3"/>
      <c r="EL79" s="31"/>
      <c r="EM79" s="3"/>
      <c r="EN79" s="3"/>
      <c r="EO79" s="31"/>
      <c r="EP79" s="3"/>
      <c r="EQ79" s="3"/>
      <c r="ER79" s="31"/>
      <c r="ES79" s="3"/>
      <c r="ET79" s="3"/>
      <c r="EU79" s="31"/>
      <c r="EV79" s="3"/>
      <c r="EW79" s="3"/>
      <c r="EX79" s="3"/>
      <c r="EY79" s="3"/>
      <c r="EZ79" s="3"/>
      <c r="FA79" s="31"/>
      <c r="FB79" s="3"/>
      <c r="FC79" s="3"/>
      <c r="FD79" s="31"/>
      <c r="FE79" s="3"/>
      <c r="FF79" s="3"/>
      <c r="FG79" s="31"/>
      <c r="FH79" s="3"/>
      <c r="FI79" s="3"/>
      <c r="FJ79" s="3"/>
      <c r="FK79" s="3"/>
      <c r="FL79" s="3"/>
      <c r="FM79" s="31"/>
      <c r="FN79" s="3"/>
      <c r="FO79" s="3"/>
      <c r="FP79" s="31"/>
      <c r="FQ79" s="3"/>
      <c r="FR79" s="3"/>
      <c r="FS79" s="3"/>
      <c r="FT79" s="3"/>
      <c r="FU79" s="3"/>
      <c r="FV79" s="3"/>
      <c r="FW79" s="3"/>
      <c r="FX79" s="3"/>
      <c r="FY79" s="3"/>
      <c r="FZ79" s="112"/>
      <c r="GA79" s="16" t="s">
        <v>189</v>
      </c>
      <c r="GB79" s="3"/>
      <c r="GC79" s="3"/>
    </row>
    <row r="80" spans="1:185" x14ac:dyDescent="0.3">
      <c r="A80" s="4"/>
      <c r="B80" s="47" t="s">
        <v>141</v>
      </c>
      <c r="C80" s="47"/>
      <c r="D80" s="27"/>
      <c r="E80" s="48"/>
      <c r="F80" s="27"/>
      <c r="G80" s="27"/>
      <c r="H80" s="27"/>
      <c r="I80" s="27"/>
      <c r="J80" s="27"/>
      <c r="K80" s="27"/>
      <c r="L80" s="27"/>
      <c r="M80" s="27"/>
      <c r="N80" s="27"/>
      <c r="O80" s="27"/>
      <c r="P80" s="27"/>
      <c r="Q80" s="25"/>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5"/>
      <c r="CI80" s="27"/>
      <c r="CJ80" s="27"/>
      <c r="CK80" s="27"/>
      <c r="CL80" s="27"/>
      <c r="CM80" s="27"/>
      <c r="CN80" s="27"/>
      <c r="CO80" s="27"/>
      <c r="CP80" s="27"/>
      <c r="CQ80" s="27"/>
      <c r="CR80" s="27"/>
      <c r="CS80" s="25"/>
      <c r="CT80" s="27"/>
      <c r="CU80" s="27"/>
      <c r="CV80" s="27"/>
      <c r="CW80" s="27"/>
      <c r="CX80" s="27"/>
      <c r="CY80" s="27"/>
      <c r="CZ80" s="27"/>
      <c r="DA80" s="27"/>
      <c r="DB80" s="27"/>
      <c r="DC80" s="27"/>
      <c r="DD80" s="27"/>
      <c r="DE80" s="27"/>
      <c r="DF80" s="27"/>
      <c r="DG80" s="27"/>
      <c r="DH80" s="27"/>
      <c r="DI80" s="25"/>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5"/>
      <c r="FB80" s="27"/>
      <c r="FC80" s="27"/>
      <c r="FD80" s="27"/>
      <c r="FE80" s="27"/>
      <c r="FF80" s="27"/>
      <c r="FG80" s="27"/>
      <c r="FH80" s="27"/>
      <c r="FI80" s="27"/>
      <c r="FJ80" s="27"/>
      <c r="FK80" s="27"/>
      <c r="FL80" s="27"/>
      <c r="FM80" s="25"/>
      <c r="FN80" s="27"/>
      <c r="FO80" s="27"/>
      <c r="FP80" s="27"/>
      <c r="FQ80" s="27"/>
      <c r="FR80" s="27"/>
      <c r="FS80" s="27"/>
      <c r="FT80" s="27"/>
      <c r="FU80" s="27"/>
      <c r="FV80" s="27"/>
      <c r="FW80" s="27"/>
      <c r="FX80" s="27"/>
      <c r="FY80" s="23"/>
      <c r="FZ80" s="47" t="s">
        <v>145</v>
      </c>
      <c r="GA80" s="47" t="s">
        <v>146</v>
      </c>
      <c r="GB80" s="47" t="s">
        <v>147</v>
      </c>
      <c r="GC80" s="23"/>
    </row>
    <row r="81" spans="1:185" s="83" customFormat="1" x14ac:dyDescent="0.3">
      <c r="A81" s="4"/>
      <c r="B81" s="39"/>
      <c r="C81" s="94"/>
      <c r="D81" s="39" t="s">
        <v>132</v>
      </c>
      <c r="E81" s="39">
        <v>1</v>
      </c>
      <c r="F81" s="39"/>
      <c r="G81" s="39"/>
      <c r="H81" s="39"/>
      <c r="I81" s="39"/>
      <c r="J81" s="39"/>
      <c r="K81" s="39"/>
      <c r="L81" s="39"/>
      <c r="M81" s="39"/>
      <c r="N81" s="39"/>
      <c r="O81" s="39"/>
      <c r="P81" s="39"/>
      <c r="Q81" s="32">
        <f>Q62</f>
        <v>9222.3765745856363</v>
      </c>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2">
        <f>CH30</f>
        <v>961.569490521327</v>
      </c>
      <c r="CI81" s="39"/>
      <c r="CJ81" s="39"/>
      <c r="CK81" s="32">
        <f>CK30</f>
        <v>0</v>
      </c>
      <c r="CL81" s="39"/>
      <c r="CM81" s="39"/>
      <c r="CN81" s="32">
        <f>CN48</f>
        <v>25.722311495673676</v>
      </c>
      <c r="CO81" s="39"/>
      <c r="CP81" s="114"/>
      <c r="CQ81" s="32">
        <f t="shared" ref="CQ81:CQ89" si="0">CK81+CN81</f>
        <v>25.722311495673676</v>
      </c>
      <c r="CR81" s="114"/>
      <c r="CS81" s="114"/>
      <c r="CT81" s="39"/>
      <c r="CU81" s="39"/>
      <c r="CV81" s="39"/>
      <c r="CW81" s="39"/>
      <c r="CX81" s="39"/>
      <c r="CY81" s="39"/>
      <c r="CZ81" s="39"/>
      <c r="DA81" s="39"/>
      <c r="DB81" s="39"/>
      <c r="DC81" s="39"/>
      <c r="DD81" s="39"/>
      <c r="DE81" s="39"/>
      <c r="DF81" s="39"/>
      <c r="DG81" s="39"/>
      <c r="DH81" s="39"/>
      <c r="DI81" s="32">
        <f>((DI30+DI70+DI73)/3)*GE11</f>
        <v>374.15281266856766</v>
      </c>
      <c r="DJ81" s="39"/>
      <c r="DK81" s="39"/>
      <c r="DL81" s="39"/>
      <c r="DM81" s="39"/>
      <c r="DN81" s="39"/>
      <c r="DO81" s="39"/>
      <c r="DP81" s="39"/>
      <c r="DQ81" s="39"/>
      <c r="DR81" s="39"/>
      <c r="DS81" s="39"/>
      <c r="DT81" s="39"/>
      <c r="DU81" s="32">
        <f>DU30</f>
        <v>0</v>
      </c>
      <c r="DV81" s="39"/>
      <c r="DW81" s="39"/>
      <c r="DX81" s="39"/>
      <c r="DY81" s="39"/>
      <c r="DZ81" s="39"/>
      <c r="EA81" s="39"/>
      <c r="EB81" s="39"/>
      <c r="EC81" s="39"/>
      <c r="ED81" s="39"/>
      <c r="EE81" s="39"/>
      <c r="EF81" s="39"/>
      <c r="EG81" s="39"/>
      <c r="EH81" s="39"/>
      <c r="EI81" s="39"/>
      <c r="EJ81" s="39"/>
      <c r="EK81" s="39"/>
      <c r="EL81" s="39"/>
      <c r="EM81" s="32">
        <f>0</f>
        <v>0</v>
      </c>
      <c r="EN81" s="39"/>
      <c r="EO81" s="39"/>
      <c r="EP81" s="32">
        <f>EP7</f>
        <v>5632.7480916030527</v>
      </c>
      <c r="EQ81" s="39"/>
      <c r="ER81" s="39"/>
      <c r="ES81" s="32">
        <f>ES6</f>
        <v>6215.0468314424197</v>
      </c>
      <c r="ET81" s="39"/>
      <c r="EU81" s="39"/>
      <c r="EV81" s="32">
        <f>0</f>
        <v>0</v>
      </c>
      <c r="EW81" s="39"/>
      <c r="EX81" s="114"/>
      <c r="EY81" s="32">
        <f>EP103+ES103+EV103</f>
        <v>12390.124831442419</v>
      </c>
      <c r="EZ81" s="114"/>
      <c r="FA81" s="114"/>
      <c r="FB81" s="32">
        <f>FB30</f>
        <v>0</v>
      </c>
      <c r="FC81" s="39"/>
      <c r="FD81" s="39"/>
      <c r="FE81" s="32">
        <f>FE6</f>
        <v>170.48960126114636</v>
      </c>
      <c r="FF81" s="39"/>
      <c r="FG81" s="39"/>
      <c r="FH81" s="32">
        <f>FH7</f>
        <v>14199.535175879397</v>
      </c>
      <c r="FI81" s="39"/>
      <c r="FJ81" s="114"/>
      <c r="FK81" s="32">
        <f t="shared" ref="FK81:FK89" si="1">FB81+FE81+FH81</f>
        <v>14370.024777140543</v>
      </c>
      <c r="FL81" s="114"/>
      <c r="FM81" s="114"/>
      <c r="FN81" s="32">
        <f>FN30</f>
        <v>0</v>
      </c>
      <c r="FO81" s="39"/>
      <c r="FP81" s="39"/>
      <c r="FQ81" s="32">
        <f>0</f>
        <v>0</v>
      </c>
      <c r="FR81" s="39"/>
      <c r="FS81" s="39"/>
      <c r="FT81" s="32">
        <f>0</f>
        <v>0</v>
      </c>
      <c r="FU81" s="114"/>
      <c r="FV81" s="116"/>
      <c r="FW81" s="32">
        <f>FN81+FQ81+FT81</f>
        <v>0</v>
      </c>
      <c r="FX81" s="116"/>
      <c r="FY81" s="23"/>
      <c r="FZ81" s="32">
        <f t="shared" ref="FZ81:FZ89" si="2">Q81+CH81+CK81+CN81</f>
        <v>10209.668376602638</v>
      </c>
      <c r="GA81" s="32">
        <f t="shared" ref="GA81:GA89" si="3">DI81+DU81+EM81+EP81+ES81+EV81+FB81+FE81+FH81+FN81+FQ81+FT81</f>
        <v>26591.972512854583</v>
      </c>
      <c r="GB81" s="32">
        <f>FZ81+GA81</f>
        <v>36801.640889457223</v>
      </c>
      <c r="GC81" s="23"/>
    </row>
    <row r="82" spans="1:185" s="83" customFormat="1" x14ac:dyDescent="0.3">
      <c r="A82" s="4"/>
      <c r="B82" s="39"/>
      <c r="C82" s="94"/>
      <c r="D82" s="39" t="s">
        <v>133</v>
      </c>
      <c r="E82" s="39">
        <v>1</v>
      </c>
      <c r="F82" s="39"/>
      <c r="G82" s="39"/>
      <c r="H82" s="39"/>
      <c r="I82" s="39"/>
      <c r="J82" s="39"/>
      <c r="K82" s="39"/>
      <c r="L82" s="39"/>
      <c r="M82" s="39"/>
      <c r="N82" s="39"/>
      <c r="O82" s="39"/>
      <c r="P82" s="39"/>
      <c r="Q82" s="32">
        <f>Q62</f>
        <v>9222.3765745856363</v>
      </c>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2">
        <f>CH30</f>
        <v>961.569490521327</v>
      </c>
      <c r="CI82" s="39"/>
      <c r="CJ82" s="39"/>
      <c r="CK82" s="32">
        <f>CK30</f>
        <v>0</v>
      </c>
      <c r="CL82" s="39"/>
      <c r="CM82" s="39"/>
      <c r="CN82" s="32">
        <f>CN48</f>
        <v>25.722311495673676</v>
      </c>
      <c r="CO82" s="39"/>
      <c r="CP82" s="114"/>
      <c r="CQ82" s="32">
        <f t="shared" si="0"/>
        <v>25.722311495673676</v>
      </c>
      <c r="CR82" s="114"/>
      <c r="CS82" s="114"/>
      <c r="CT82" s="39"/>
      <c r="CU82" s="39"/>
      <c r="CV82" s="39"/>
      <c r="CW82" s="39"/>
      <c r="CX82" s="39"/>
      <c r="CY82" s="39"/>
      <c r="CZ82" s="39"/>
      <c r="DA82" s="39"/>
      <c r="DB82" s="39"/>
      <c r="DC82" s="39"/>
      <c r="DD82" s="39"/>
      <c r="DE82" s="39"/>
      <c r="DF82" s="39"/>
      <c r="DG82" s="39"/>
      <c r="DH82" s="39"/>
      <c r="DI82" s="32">
        <f>((DI30+DI70+DI73)/3)*Prop_req_accom</f>
        <v>374.15281266856766</v>
      </c>
      <c r="DJ82" s="39"/>
      <c r="DK82" s="39"/>
      <c r="DL82" s="39"/>
      <c r="DM82" s="39"/>
      <c r="DN82" s="39"/>
      <c r="DO82" s="39"/>
      <c r="DP82" s="39"/>
      <c r="DQ82" s="39"/>
      <c r="DR82" s="39"/>
      <c r="DS82" s="39"/>
      <c r="DT82" s="39"/>
      <c r="DU82" s="32">
        <f>DU30</f>
        <v>0</v>
      </c>
      <c r="DV82" s="39"/>
      <c r="DW82" s="39"/>
      <c r="DX82" s="39"/>
      <c r="DY82" s="39"/>
      <c r="DZ82" s="39"/>
      <c r="EA82" s="39"/>
      <c r="EB82" s="39"/>
      <c r="EC82" s="39"/>
      <c r="ED82" s="39"/>
      <c r="EE82" s="39"/>
      <c r="EF82" s="39"/>
      <c r="EG82" s="39"/>
      <c r="EH82" s="39"/>
      <c r="EI82" s="39"/>
      <c r="EJ82" s="39"/>
      <c r="EK82" s="39"/>
      <c r="EL82" s="39"/>
      <c r="EM82" s="32">
        <f>0</f>
        <v>0</v>
      </c>
      <c r="EN82" s="39"/>
      <c r="EO82" s="39"/>
      <c r="EP82" s="32">
        <f>EP8</f>
        <v>4445.5215686274505</v>
      </c>
      <c r="EQ82" s="39"/>
      <c r="ER82" s="39"/>
      <c r="ES82" s="32">
        <f>ES6</f>
        <v>6215.0468314424197</v>
      </c>
      <c r="ET82" s="39"/>
      <c r="EU82" s="39"/>
      <c r="EV82" s="32">
        <f>0</f>
        <v>0</v>
      </c>
      <c r="EW82" s="39"/>
      <c r="EX82" s="114"/>
      <c r="EY82" s="32">
        <f t="shared" ref="EY82:EY89" si="4">EP82+ES82+EV82</f>
        <v>10660.568400069871</v>
      </c>
      <c r="EZ82" s="114"/>
      <c r="FA82" s="114"/>
      <c r="FB82" s="32">
        <f>FB30</f>
        <v>0</v>
      </c>
      <c r="FC82" s="39"/>
      <c r="FD82" s="39"/>
      <c r="FE82" s="32">
        <f>FE6</f>
        <v>170.48960126114636</v>
      </c>
      <c r="FF82" s="39"/>
      <c r="FG82" s="39"/>
      <c r="FH82" s="32">
        <f>FH8</f>
        <v>23145.11306532663</v>
      </c>
      <c r="FI82" s="39"/>
      <c r="FJ82" s="114"/>
      <c r="FK82" s="32">
        <f t="shared" si="1"/>
        <v>23315.602666587776</v>
      </c>
      <c r="FL82" s="114"/>
      <c r="FM82" s="114"/>
      <c r="FN82" s="32">
        <f>FN30</f>
        <v>0</v>
      </c>
      <c r="FO82" s="39"/>
      <c r="FP82" s="39"/>
      <c r="FQ82" s="32">
        <f>0</f>
        <v>0</v>
      </c>
      <c r="FR82" s="39"/>
      <c r="FS82" s="39"/>
      <c r="FT82" s="32">
        <f>0</f>
        <v>0</v>
      </c>
      <c r="FU82" s="114"/>
      <c r="FV82" s="116"/>
      <c r="FW82" s="32">
        <f t="shared" ref="FW82:FW89" si="5">FN82+FQ82+FT82</f>
        <v>0</v>
      </c>
      <c r="FX82" s="116"/>
      <c r="FY82" s="23"/>
      <c r="FZ82" s="32">
        <f t="shared" si="2"/>
        <v>10209.668376602638</v>
      </c>
      <c r="GA82" s="32">
        <f t="shared" si="3"/>
        <v>34350.323879326214</v>
      </c>
      <c r="GB82" s="32">
        <f t="shared" ref="GB82:GB89" si="6">FZ82+GA82</f>
        <v>44559.992255928853</v>
      </c>
      <c r="GC82" s="23"/>
    </row>
    <row r="83" spans="1:185" s="83" customFormat="1" x14ac:dyDescent="0.3">
      <c r="A83" s="4"/>
      <c r="B83" s="39"/>
      <c r="C83" s="94"/>
      <c r="D83" s="39" t="s">
        <v>134</v>
      </c>
      <c r="E83" s="39">
        <v>1</v>
      </c>
      <c r="F83" s="39"/>
      <c r="G83" s="39"/>
      <c r="H83" s="39"/>
      <c r="I83" s="39"/>
      <c r="J83" s="39"/>
      <c r="K83" s="39"/>
      <c r="L83" s="39"/>
      <c r="M83" s="39"/>
      <c r="N83" s="39"/>
      <c r="O83" s="39"/>
      <c r="P83" s="39"/>
      <c r="Q83" s="32">
        <f>Q62</f>
        <v>9222.3765745856363</v>
      </c>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2">
        <f>CH30</f>
        <v>961.569490521327</v>
      </c>
      <c r="CI83" s="39"/>
      <c r="CJ83" s="39"/>
      <c r="CK83" s="32">
        <f>CK30</f>
        <v>0</v>
      </c>
      <c r="CL83" s="39"/>
      <c r="CM83" s="39"/>
      <c r="CN83" s="32">
        <f>CN55</f>
        <v>93.444404145077726</v>
      </c>
      <c r="CO83" s="39"/>
      <c r="CP83" s="114"/>
      <c r="CQ83" s="32">
        <f t="shared" si="0"/>
        <v>93.444404145077726</v>
      </c>
      <c r="CR83" s="114"/>
      <c r="CS83" s="114"/>
      <c r="CT83" s="39"/>
      <c r="CU83" s="39"/>
      <c r="CV83" s="39"/>
      <c r="CW83" s="39"/>
      <c r="CX83" s="39"/>
      <c r="CY83" s="39"/>
      <c r="CZ83" s="39"/>
      <c r="DA83" s="39"/>
      <c r="DB83" s="39"/>
      <c r="DC83" s="39"/>
      <c r="DD83" s="39"/>
      <c r="DE83" s="39"/>
      <c r="DF83" s="39"/>
      <c r="DG83" s="39"/>
      <c r="DH83" s="39"/>
      <c r="DI83" s="32">
        <f>((DI30+DI70+DI73)/3)*Prop_req_accom</f>
        <v>374.15281266856766</v>
      </c>
      <c r="DJ83" s="39"/>
      <c r="DK83" s="39"/>
      <c r="DL83" s="39"/>
      <c r="DM83" s="39"/>
      <c r="DN83" s="39"/>
      <c r="DO83" s="39"/>
      <c r="DP83" s="39"/>
      <c r="DQ83" s="39"/>
      <c r="DR83" s="39"/>
      <c r="DS83" s="39"/>
      <c r="DT83" s="39"/>
      <c r="DU83" s="32">
        <f>DU30</f>
        <v>0</v>
      </c>
      <c r="DV83" s="39"/>
      <c r="DW83" s="39"/>
      <c r="DX83" s="39"/>
      <c r="DY83" s="39"/>
      <c r="DZ83" s="39"/>
      <c r="EA83" s="39"/>
      <c r="EB83" s="39"/>
      <c r="EC83" s="39"/>
      <c r="ED83" s="39"/>
      <c r="EE83" s="39"/>
      <c r="EF83" s="39"/>
      <c r="EG83" s="39"/>
      <c r="EH83" s="39"/>
      <c r="EI83" s="39"/>
      <c r="EJ83" s="39"/>
      <c r="EK83" s="39"/>
      <c r="EL83" s="39"/>
      <c r="EM83" s="32">
        <f>0</f>
        <v>0</v>
      </c>
      <c r="EN83" s="39"/>
      <c r="EO83" s="39"/>
      <c r="EP83" s="32">
        <f>EP30</f>
        <v>6175.0780000000004</v>
      </c>
      <c r="EQ83" s="39"/>
      <c r="ER83" s="39"/>
      <c r="ES83" s="32">
        <f>ES6</f>
        <v>6215.0468314424197</v>
      </c>
      <c r="ET83" s="39"/>
      <c r="EU83" s="39"/>
      <c r="EV83" s="32">
        <f>0</f>
        <v>0</v>
      </c>
      <c r="EW83" s="39"/>
      <c r="EX83" s="114"/>
      <c r="EY83" s="32">
        <f t="shared" si="4"/>
        <v>12390.124831442419</v>
      </c>
      <c r="EZ83" s="114"/>
      <c r="FA83" s="114"/>
      <c r="FB83" s="32">
        <f>FB30</f>
        <v>0</v>
      </c>
      <c r="FC83" s="39"/>
      <c r="FD83" s="39"/>
      <c r="FE83" s="32">
        <f>FE6</f>
        <v>170.48960126114636</v>
      </c>
      <c r="FF83" s="39"/>
      <c r="FG83" s="39"/>
      <c r="FH83" s="32">
        <f>FH9</f>
        <v>16591.055276381911</v>
      </c>
      <c r="FI83" s="39"/>
      <c r="FJ83" s="114"/>
      <c r="FK83" s="32">
        <f t="shared" si="1"/>
        <v>16761.544877643057</v>
      </c>
      <c r="FL83" s="114"/>
      <c r="FM83" s="114"/>
      <c r="FN83" s="32">
        <f>FN30</f>
        <v>0</v>
      </c>
      <c r="FO83" s="39"/>
      <c r="FP83" s="39"/>
      <c r="FQ83" s="32">
        <f>0</f>
        <v>0</v>
      </c>
      <c r="FR83" s="39"/>
      <c r="FS83" s="39"/>
      <c r="FT83" s="32">
        <f>0</f>
        <v>0</v>
      </c>
      <c r="FU83" s="114"/>
      <c r="FV83" s="116"/>
      <c r="FW83" s="32">
        <f t="shared" si="5"/>
        <v>0</v>
      </c>
      <c r="FX83" s="116"/>
      <c r="FY83" s="23"/>
      <c r="FZ83" s="32">
        <f t="shared" si="2"/>
        <v>10277.390469252041</v>
      </c>
      <c r="GA83" s="32">
        <f t="shared" si="3"/>
        <v>29525.822521754046</v>
      </c>
      <c r="GB83" s="32">
        <f t="shared" si="6"/>
        <v>39803.21299100609</v>
      </c>
      <c r="GC83" s="23"/>
    </row>
    <row r="84" spans="1:185" s="83" customFormat="1" x14ac:dyDescent="0.3">
      <c r="A84" s="4"/>
      <c r="B84" s="39"/>
      <c r="C84" s="94"/>
      <c r="D84" s="39" t="s">
        <v>135</v>
      </c>
      <c r="E84" s="39">
        <v>1</v>
      </c>
      <c r="F84" s="39"/>
      <c r="G84" s="39"/>
      <c r="H84" s="39"/>
      <c r="I84" s="39"/>
      <c r="J84" s="39"/>
      <c r="K84" s="39"/>
      <c r="L84" s="39"/>
      <c r="M84" s="39"/>
      <c r="N84" s="39"/>
      <c r="O84" s="39"/>
      <c r="P84" s="39"/>
      <c r="Q84" s="32">
        <f>(Q31+Q24)/2</f>
        <v>3175.2475370825946</v>
      </c>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2">
        <f>CH24</f>
        <v>431.34168699766906</v>
      </c>
      <c r="CI84" s="39"/>
      <c r="CJ84" s="39"/>
      <c r="CK84" s="32">
        <f>CK31</f>
        <v>29.572738038844154</v>
      </c>
      <c r="CL84" s="39"/>
      <c r="CM84" s="39"/>
      <c r="CN84" s="32">
        <f>CN48</f>
        <v>25.722311495673676</v>
      </c>
      <c r="CO84" s="39"/>
      <c r="CP84" s="114"/>
      <c r="CQ84" s="32">
        <f t="shared" si="0"/>
        <v>55.29504953451783</v>
      </c>
      <c r="CR84" s="114"/>
      <c r="CS84" s="114"/>
      <c r="CT84" s="39"/>
      <c r="CU84" s="39"/>
      <c r="CV84" s="39"/>
      <c r="CW84" s="39"/>
      <c r="CX84" s="39"/>
      <c r="CY84" s="39"/>
      <c r="CZ84" s="39"/>
      <c r="DA84" s="39"/>
      <c r="DB84" s="39"/>
      <c r="DC84" s="39"/>
      <c r="DD84" s="39"/>
      <c r="DE84" s="39"/>
      <c r="DF84" s="39"/>
      <c r="DG84" s="39"/>
      <c r="DH84" s="39"/>
      <c r="DI84" s="32">
        <f>((DI31+DI71+DI74)/3)*Prop_req_accom</f>
        <v>1417.5575101738812</v>
      </c>
      <c r="DJ84" s="39"/>
      <c r="DK84" s="39"/>
      <c r="DL84" s="39"/>
      <c r="DM84" s="39"/>
      <c r="DN84" s="39"/>
      <c r="DO84" s="39"/>
      <c r="DP84" s="39"/>
      <c r="DQ84" s="39"/>
      <c r="DR84" s="39"/>
      <c r="DS84" s="39"/>
      <c r="DT84" s="39"/>
      <c r="DU84" s="32">
        <f>(DU71+DU31)/2</f>
        <v>17272.884698082955</v>
      </c>
      <c r="DV84" s="39"/>
      <c r="DW84" s="39"/>
      <c r="DX84" s="39"/>
      <c r="DY84" s="39"/>
      <c r="DZ84" s="39"/>
      <c r="EA84" s="39"/>
      <c r="EB84" s="39"/>
      <c r="EC84" s="39"/>
      <c r="ED84" s="39"/>
      <c r="EE84" s="39"/>
      <c r="EF84" s="39"/>
      <c r="EG84" s="39"/>
      <c r="EH84" s="39"/>
      <c r="EI84" s="39"/>
      <c r="EJ84" s="39"/>
      <c r="EK84" s="39"/>
      <c r="EL84" s="39"/>
      <c r="EM84" s="32">
        <f>EM71</f>
        <v>11781.202182985553</v>
      </c>
      <c r="EN84" s="39"/>
      <c r="EO84" s="39"/>
      <c r="EP84" s="32">
        <f>EP7</f>
        <v>5632.7480916030527</v>
      </c>
      <c r="EQ84" s="39"/>
      <c r="ER84" s="39"/>
      <c r="ES84" s="32">
        <f>ES6</f>
        <v>6215.0468314424197</v>
      </c>
      <c r="ET84" s="39"/>
      <c r="EU84" s="39"/>
      <c r="EV84" s="32">
        <f>0</f>
        <v>0</v>
      </c>
      <c r="EW84" s="39"/>
      <c r="EX84" s="114"/>
      <c r="EY84" s="32">
        <f t="shared" si="4"/>
        <v>11847.794923045472</v>
      </c>
      <c r="EZ84" s="114"/>
      <c r="FA84" s="114"/>
      <c r="FB84" s="32">
        <f>FB31</f>
        <v>1416.8960000000002</v>
      </c>
      <c r="FC84" s="39"/>
      <c r="FD84" s="39"/>
      <c r="FE84" s="32">
        <f>FE6</f>
        <v>170.48960126114636</v>
      </c>
      <c r="FF84" s="39"/>
      <c r="FG84" s="39"/>
      <c r="FH84" s="32">
        <f>FH7</f>
        <v>14199.535175879397</v>
      </c>
      <c r="FI84" s="39"/>
      <c r="FJ84" s="114"/>
      <c r="FK84" s="32">
        <f t="shared" si="1"/>
        <v>15786.920777140544</v>
      </c>
      <c r="FL84" s="114"/>
      <c r="FM84" s="114"/>
      <c r="FN84" s="32">
        <f>FN31</f>
        <v>3506.4769999999999</v>
      </c>
      <c r="FO84" s="39"/>
      <c r="FP84" s="39"/>
      <c r="FQ84" s="32">
        <f>0</f>
        <v>0</v>
      </c>
      <c r="FR84" s="39"/>
      <c r="FS84" s="39"/>
      <c r="FT84" s="32">
        <f>0</f>
        <v>0</v>
      </c>
      <c r="FU84" s="114"/>
      <c r="FV84" s="116"/>
      <c r="FW84" s="32">
        <f t="shared" si="5"/>
        <v>3506.4769999999999</v>
      </c>
      <c r="FX84" s="116"/>
      <c r="FY84" s="23"/>
      <c r="FZ84" s="32">
        <f t="shared" si="2"/>
        <v>3661.8842736147817</v>
      </c>
      <c r="GA84" s="32">
        <f t="shared" si="3"/>
        <v>61612.83709142841</v>
      </c>
      <c r="GB84" s="32">
        <f t="shared" si="6"/>
        <v>65274.721365043195</v>
      </c>
      <c r="GC84" s="23"/>
    </row>
    <row r="85" spans="1:185" s="83" customFormat="1" x14ac:dyDescent="0.3">
      <c r="A85" s="4"/>
      <c r="B85" s="39"/>
      <c r="C85" s="94"/>
      <c r="D85" s="39" t="s">
        <v>136</v>
      </c>
      <c r="E85" s="39">
        <v>1</v>
      </c>
      <c r="F85" s="39"/>
      <c r="G85" s="39"/>
      <c r="H85" s="39"/>
      <c r="I85" s="39"/>
      <c r="J85" s="39"/>
      <c r="K85" s="39"/>
      <c r="L85" s="39"/>
      <c r="M85" s="39"/>
      <c r="N85" s="39"/>
      <c r="O85" s="39"/>
      <c r="P85" s="39"/>
      <c r="Q85" s="32">
        <f>(Q31+Q24)/2</f>
        <v>3175.2475370825946</v>
      </c>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2">
        <f>CH24</f>
        <v>431.34168699766906</v>
      </c>
      <c r="CI85" s="39"/>
      <c r="CJ85" s="39"/>
      <c r="CK85" s="32">
        <f>CK31</f>
        <v>29.572738038844154</v>
      </c>
      <c r="CL85" s="39"/>
      <c r="CM85" s="39"/>
      <c r="CN85" s="32">
        <f>CN48</f>
        <v>25.722311495673676</v>
      </c>
      <c r="CO85" s="39"/>
      <c r="CP85" s="114"/>
      <c r="CQ85" s="32">
        <f t="shared" si="0"/>
        <v>55.29504953451783</v>
      </c>
      <c r="CR85" s="114"/>
      <c r="CS85" s="114"/>
      <c r="CT85" s="39"/>
      <c r="CU85" s="39"/>
      <c r="CV85" s="39"/>
      <c r="CW85" s="39"/>
      <c r="CX85" s="39"/>
      <c r="CY85" s="39"/>
      <c r="CZ85" s="39"/>
      <c r="DA85" s="39"/>
      <c r="DB85" s="39"/>
      <c r="DC85" s="39"/>
      <c r="DD85" s="39"/>
      <c r="DE85" s="39"/>
      <c r="DF85" s="39"/>
      <c r="DG85" s="39"/>
      <c r="DH85" s="39"/>
      <c r="DI85" s="32">
        <f>((DI31+DI71+DI74)/3)*Prop_req_accom</f>
        <v>1417.5575101738812</v>
      </c>
      <c r="DJ85" s="39"/>
      <c r="DK85" s="39"/>
      <c r="DL85" s="39"/>
      <c r="DM85" s="39"/>
      <c r="DN85" s="39"/>
      <c r="DO85" s="39"/>
      <c r="DP85" s="39"/>
      <c r="DQ85" s="39"/>
      <c r="DR85" s="39"/>
      <c r="DS85" s="39"/>
      <c r="DT85" s="39"/>
      <c r="DU85" s="32">
        <f>(DU71+DU31)/2</f>
        <v>17272.884698082955</v>
      </c>
      <c r="DV85" s="39"/>
      <c r="DW85" s="39"/>
      <c r="DX85" s="39"/>
      <c r="DY85" s="39"/>
      <c r="DZ85" s="39"/>
      <c r="EA85" s="39"/>
      <c r="EB85" s="39"/>
      <c r="EC85" s="39"/>
      <c r="ED85" s="39"/>
      <c r="EE85" s="39"/>
      <c r="EF85" s="39"/>
      <c r="EG85" s="39"/>
      <c r="EH85" s="39"/>
      <c r="EI85" s="39"/>
      <c r="EJ85" s="39"/>
      <c r="EK85" s="39"/>
      <c r="EL85" s="39"/>
      <c r="EM85" s="32">
        <f>EM71</f>
        <v>11781.202182985553</v>
      </c>
      <c r="EN85" s="39"/>
      <c r="EO85" s="39"/>
      <c r="EP85" s="32">
        <f>EP8</f>
        <v>4445.5215686274505</v>
      </c>
      <c r="EQ85" s="39"/>
      <c r="ER85" s="39"/>
      <c r="ES85" s="32">
        <f>ES6</f>
        <v>6215.0468314424197</v>
      </c>
      <c r="ET85" s="39"/>
      <c r="EU85" s="39"/>
      <c r="EV85" s="32">
        <f>0</f>
        <v>0</v>
      </c>
      <c r="EW85" s="39"/>
      <c r="EX85" s="114"/>
      <c r="EY85" s="32">
        <f t="shared" si="4"/>
        <v>10660.568400069871</v>
      </c>
      <c r="EZ85" s="114"/>
      <c r="FA85" s="114"/>
      <c r="FB85" s="32">
        <f>FB31</f>
        <v>1416.8960000000002</v>
      </c>
      <c r="FC85" s="39"/>
      <c r="FD85" s="39"/>
      <c r="FE85" s="32">
        <f>FE6</f>
        <v>170.48960126114636</v>
      </c>
      <c r="FF85" s="39"/>
      <c r="FG85" s="39"/>
      <c r="FH85" s="32">
        <f>FH8</f>
        <v>23145.11306532663</v>
      </c>
      <c r="FI85" s="39"/>
      <c r="FJ85" s="114"/>
      <c r="FK85" s="32">
        <f t="shared" si="1"/>
        <v>24732.498666587777</v>
      </c>
      <c r="FL85" s="114"/>
      <c r="FM85" s="114"/>
      <c r="FN85" s="32">
        <f>FN31</f>
        <v>3506.4769999999999</v>
      </c>
      <c r="FO85" s="39"/>
      <c r="FP85" s="39"/>
      <c r="FQ85" s="32">
        <f>0</f>
        <v>0</v>
      </c>
      <c r="FR85" s="39"/>
      <c r="FS85" s="39"/>
      <c r="FT85" s="32">
        <f>0</f>
        <v>0</v>
      </c>
      <c r="FU85" s="114"/>
      <c r="FV85" s="116"/>
      <c r="FW85" s="32">
        <f t="shared" si="5"/>
        <v>3506.4769999999999</v>
      </c>
      <c r="FX85" s="116"/>
      <c r="FY85" s="23"/>
      <c r="FZ85" s="32">
        <f t="shared" si="2"/>
        <v>3661.8842736147817</v>
      </c>
      <c r="GA85" s="32">
        <f t="shared" si="3"/>
        <v>69371.188457900033</v>
      </c>
      <c r="GB85" s="32">
        <f t="shared" si="6"/>
        <v>73033.072731514811</v>
      </c>
      <c r="GC85" s="23"/>
    </row>
    <row r="86" spans="1:185" s="83" customFormat="1" x14ac:dyDescent="0.3">
      <c r="A86" s="4"/>
      <c r="B86" s="39"/>
      <c r="C86" s="94"/>
      <c r="D86" s="39" t="s">
        <v>137</v>
      </c>
      <c r="E86" s="39">
        <v>1</v>
      </c>
      <c r="F86" s="39"/>
      <c r="G86" s="39"/>
      <c r="H86" s="39"/>
      <c r="I86" s="39"/>
      <c r="J86" s="39"/>
      <c r="K86" s="39"/>
      <c r="L86" s="39"/>
      <c r="M86" s="39"/>
      <c r="N86" s="39"/>
      <c r="O86" s="39"/>
      <c r="P86" s="39"/>
      <c r="Q86" s="32">
        <f>(Q31+Q24)/2</f>
        <v>3175.2475370825946</v>
      </c>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2">
        <f>CH24</f>
        <v>431.34168699766906</v>
      </c>
      <c r="CI86" s="39"/>
      <c r="CJ86" s="39"/>
      <c r="CK86" s="32">
        <f>CK31</f>
        <v>29.572738038844154</v>
      </c>
      <c r="CL86" s="39"/>
      <c r="CM86" s="39"/>
      <c r="CN86" s="32">
        <f>CN55</f>
        <v>93.444404145077726</v>
      </c>
      <c r="CO86" s="39"/>
      <c r="CP86" s="114"/>
      <c r="CQ86" s="32">
        <f t="shared" si="0"/>
        <v>123.01714218392188</v>
      </c>
      <c r="CR86" s="114"/>
      <c r="CS86" s="114"/>
      <c r="CT86" s="39"/>
      <c r="CU86" s="39"/>
      <c r="CV86" s="39"/>
      <c r="CW86" s="39"/>
      <c r="CX86" s="39"/>
      <c r="CY86" s="39"/>
      <c r="CZ86" s="39"/>
      <c r="DA86" s="39"/>
      <c r="DB86" s="39"/>
      <c r="DC86" s="39"/>
      <c r="DD86" s="39"/>
      <c r="DE86" s="39"/>
      <c r="DF86" s="39"/>
      <c r="DG86" s="39"/>
      <c r="DH86" s="39"/>
      <c r="DI86" s="32">
        <f>((DI31+DI71+DI74)/3)*Prop_req_accom</f>
        <v>1417.5575101738812</v>
      </c>
      <c r="DJ86" s="39"/>
      <c r="DK86" s="39"/>
      <c r="DL86" s="39"/>
      <c r="DM86" s="39"/>
      <c r="DN86" s="39"/>
      <c r="DO86" s="39"/>
      <c r="DP86" s="39"/>
      <c r="DQ86" s="39"/>
      <c r="DR86" s="39"/>
      <c r="DS86" s="39"/>
      <c r="DT86" s="39"/>
      <c r="DU86" s="32">
        <f>(DU71+DU31)/2</f>
        <v>17272.884698082955</v>
      </c>
      <c r="DV86" s="39"/>
      <c r="DW86" s="39"/>
      <c r="DX86" s="39"/>
      <c r="DY86" s="39"/>
      <c r="DZ86" s="39"/>
      <c r="EA86" s="39"/>
      <c r="EB86" s="39"/>
      <c r="EC86" s="39"/>
      <c r="ED86" s="39"/>
      <c r="EE86" s="39"/>
      <c r="EF86" s="39"/>
      <c r="EG86" s="39"/>
      <c r="EH86" s="39"/>
      <c r="EI86" s="39"/>
      <c r="EJ86" s="39"/>
      <c r="EK86" s="39"/>
      <c r="EL86" s="39"/>
      <c r="EM86" s="32">
        <f>EM71</f>
        <v>11781.202182985553</v>
      </c>
      <c r="EN86" s="39"/>
      <c r="EO86" s="39"/>
      <c r="EP86" s="32">
        <f>EP30</f>
        <v>6175.0780000000004</v>
      </c>
      <c r="EQ86" s="39"/>
      <c r="ER86" s="39"/>
      <c r="ES86" s="32">
        <f>ES6</f>
        <v>6215.0468314424197</v>
      </c>
      <c r="ET86" s="39"/>
      <c r="EU86" s="39"/>
      <c r="EV86" s="32">
        <f>0</f>
        <v>0</v>
      </c>
      <c r="EW86" s="39"/>
      <c r="EX86" s="114"/>
      <c r="EY86" s="32">
        <f t="shared" si="4"/>
        <v>12390.124831442419</v>
      </c>
      <c r="EZ86" s="114"/>
      <c r="FA86" s="114"/>
      <c r="FB86" s="32">
        <f>FB31</f>
        <v>1416.8960000000002</v>
      </c>
      <c r="FC86" s="39"/>
      <c r="FD86" s="39"/>
      <c r="FE86" s="32">
        <f>FE6</f>
        <v>170.48960126114636</v>
      </c>
      <c r="FF86" s="39"/>
      <c r="FG86" s="39"/>
      <c r="FH86" s="32">
        <f>FH9</f>
        <v>16591.055276381911</v>
      </c>
      <c r="FI86" s="39"/>
      <c r="FJ86" s="114"/>
      <c r="FK86" s="32">
        <f t="shared" si="1"/>
        <v>18178.440877643057</v>
      </c>
      <c r="FL86" s="114"/>
      <c r="FM86" s="114"/>
      <c r="FN86" s="32">
        <f>FN31</f>
        <v>3506.4769999999999</v>
      </c>
      <c r="FO86" s="39"/>
      <c r="FP86" s="39"/>
      <c r="FQ86" s="32">
        <f>0</f>
        <v>0</v>
      </c>
      <c r="FR86" s="39"/>
      <c r="FS86" s="39"/>
      <c r="FT86" s="32">
        <f>0</f>
        <v>0</v>
      </c>
      <c r="FU86" s="114"/>
      <c r="FV86" s="116"/>
      <c r="FW86" s="32">
        <f t="shared" si="5"/>
        <v>3506.4769999999999</v>
      </c>
      <c r="FX86" s="116"/>
      <c r="FY86" s="23"/>
      <c r="FZ86" s="32">
        <f t="shared" si="2"/>
        <v>3729.6063662641859</v>
      </c>
      <c r="GA86" s="32">
        <f t="shared" si="3"/>
        <v>64546.687100327865</v>
      </c>
      <c r="GB86" s="32">
        <f t="shared" si="6"/>
        <v>68276.293466592047</v>
      </c>
      <c r="GC86" s="23"/>
    </row>
    <row r="87" spans="1:185" s="83" customFormat="1" x14ac:dyDescent="0.3">
      <c r="A87" s="4"/>
      <c r="B87" s="39"/>
      <c r="C87" s="94"/>
      <c r="D87" s="39" t="s">
        <v>138</v>
      </c>
      <c r="E87" s="39">
        <v>1</v>
      </c>
      <c r="F87" s="39"/>
      <c r="G87" s="39"/>
      <c r="H87" s="39"/>
      <c r="I87" s="39"/>
      <c r="J87" s="39"/>
      <c r="K87" s="39"/>
      <c r="L87" s="39"/>
      <c r="M87" s="39"/>
      <c r="N87" s="39"/>
      <c r="O87" s="39"/>
      <c r="P87" s="39"/>
      <c r="Q87" s="32">
        <f>(Q32+Q24)/2</f>
        <v>3771.0918794996564</v>
      </c>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2">
        <f>CH24</f>
        <v>431.34168699766906</v>
      </c>
      <c r="CI87" s="39"/>
      <c r="CJ87" s="39"/>
      <c r="CK87" s="32">
        <f>CK32</f>
        <v>24.655627962085308</v>
      </c>
      <c r="CL87" s="39"/>
      <c r="CM87" s="39"/>
      <c r="CN87" s="32">
        <f>CN48</f>
        <v>25.722311495673676</v>
      </c>
      <c r="CO87" s="39"/>
      <c r="CP87" s="114"/>
      <c r="CQ87" s="32">
        <f t="shared" si="0"/>
        <v>50.377939457758984</v>
      </c>
      <c r="CR87" s="114"/>
      <c r="CS87" s="114"/>
      <c r="CT87" s="39"/>
      <c r="CU87" s="39"/>
      <c r="CV87" s="39"/>
      <c r="CW87" s="39"/>
      <c r="CX87" s="39"/>
      <c r="CY87" s="39"/>
      <c r="CZ87" s="39"/>
      <c r="DA87" s="39"/>
      <c r="DB87" s="39"/>
      <c r="DC87" s="39"/>
      <c r="DD87" s="39"/>
      <c r="DE87" s="39"/>
      <c r="DF87" s="39"/>
      <c r="DG87" s="39"/>
      <c r="DH87" s="39"/>
      <c r="DI87" s="32">
        <f>((DI32+DI72+DI74)/3)*Prop_req_accom</f>
        <v>1736.2304327626548</v>
      </c>
      <c r="DJ87" s="39"/>
      <c r="DK87" s="39"/>
      <c r="DL87" s="39"/>
      <c r="DM87" s="39"/>
      <c r="DN87" s="39"/>
      <c r="DO87" s="39"/>
      <c r="DP87" s="39"/>
      <c r="DQ87" s="39"/>
      <c r="DR87" s="39"/>
      <c r="DS87" s="39"/>
      <c r="DT87" s="39"/>
      <c r="DU87" s="32">
        <f>DU74</f>
        <v>31994.125941872979</v>
      </c>
      <c r="DV87" s="39"/>
      <c r="DW87" s="39"/>
      <c r="DX87" s="39"/>
      <c r="DY87" s="39"/>
      <c r="DZ87" s="39"/>
      <c r="EA87" s="39"/>
      <c r="EB87" s="39"/>
      <c r="EC87" s="39"/>
      <c r="ED87" s="39"/>
      <c r="EE87" s="39"/>
      <c r="EF87" s="39"/>
      <c r="EG87" s="39"/>
      <c r="EH87" s="39"/>
      <c r="EI87" s="39"/>
      <c r="EJ87" s="39"/>
      <c r="EK87" s="39"/>
      <c r="EL87" s="39"/>
      <c r="EM87" s="32">
        <f>EM72</f>
        <v>705.52756959314775</v>
      </c>
      <c r="EN87" s="39"/>
      <c r="EO87" s="39"/>
      <c r="EP87" s="32">
        <f>EP7</f>
        <v>5632.7480916030527</v>
      </c>
      <c r="EQ87" s="39"/>
      <c r="ER87" s="39"/>
      <c r="ES87" s="32">
        <f>ES6</f>
        <v>6215.0468314424197</v>
      </c>
      <c r="ET87" s="39"/>
      <c r="EU87" s="39"/>
      <c r="EV87" s="32">
        <f>0</f>
        <v>0</v>
      </c>
      <c r="EW87" s="39"/>
      <c r="EX87" s="114"/>
      <c r="EY87" s="32">
        <f t="shared" si="4"/>
        <v>11847.794923045472</v>
      </c>
      <c r="EZ87" s="114"/>
      <c r="FA87" s="114"/>
      <c r="FB87" s="32">
        <f>FB32</f>
        <v>158.37899999999999</v>
      </c>
      <c r="FC87" s="39"/>
      <c r="FD87" s="39"/>
      <c r="FE87" s="32">
        <f>FE6</f>
        <v>170.48960126114636</v>
      </c>
      <c r="FF87" s="39"/>
      <c r="FG87" s="39"/>
      <c r="FH87" s="32">
        <f>FH7</f>
        <v>14199.535175879397</v>
      </c>
      <c r="FI87" s="39"/>
      <c r="FJ87" s="114"/>
      <c r="FK87" s="32">
        <f t="shared" si="1"/>
        <v>14528.403777140544</v>
      </c>
      <c r="FL87" s="114"/>
      <c r="FM87" s="114"/>
      <c r="FN87" s="32">
        <f>FN32</f>
        <v>3431.5450000000001</v>
      </c>
      <c r="FO87" s="39"/>
      <c r="FP87" s="39"/>
      <c r="FQ87" s="32">
        <f>0</f>
        <v>0</v>
      </c>
      <c r="FR87" s="39"/>
      <c r="FS87" s="39"/>
      <c r="FT87" s="32">
        <f>IF(FT28-FU28&lt;0,0,FT28-FU28)</f>
        <v>11.50114406822221</v>
      </c>
      <c r="FU87" s="114"/>
      <c r="FV87" s="116"/>
      <c r="FW87" s="32">
        <f t="shared" si="5"/>
        <v>3443.0461440682225</v>
      </c>
      <c r="FX87" s="116"/>
      <c r="FY87" s="23"/>
      <c r="FZ87" s="32">
        <f t="shared" si="2"/>
        <v>4252.8115059550846</v>
      </c>
      <c r="GA87" s="32">
        <f t="shared" si="3"/>
        <v>64255.128788483024</v>
      </c>
      <c r="GB87" s="32">
        <f t="shared" si="6"/>
        <v>68507.940294438115</v>
      </c>
      <c r="GC87" s="23"/>
    </row>
    <row r="88" spans="1:185" s="83" customFormat="1" x14ac:dyDescent="0.3">
      <c r="A88" s="4"/>
      <c r="B88" s="39"/>
      <c r="C88" s="94"/>
      <c r="D88" s="39" t="s">
        <v>139</v>
      </c>
      <c r="E88" s="39">
        <v>1</v>
      </c>
      <c r="F88" s="39"/>
      <c r="G88" s="39"/>
      <c r="H88" s="39"/>
      <c r="I88" s="39"/>
      <c r="J88" s="39"/>
      <c r="K88" s="39"/>
      <c r="L88" s="39"/>
      <c r="M88" s="39"/>
      <c r="N88" s="39"/>
      <c r="O88" s="39"/>
      <c r="P88" s="39"/>
      <c r="Q88" s="32">
        <f>(Q32+Q24)/2</f>
        <v>3771.0918794996564</v>
      </c>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2">
        <f>CH24</f>
        <v>431.34168699766906</v>
      </c>
      <c r="CI88" s="39"/>
      <c r="CJ88" s="39"/>
      <c r="CK88" s="32">
        <f>CK32</f>
        <v>24.655627962085308</v>
      </c>
      <c r="CL88" s="39"/>
      <c r="CM88" s="39"/>
      <c r="CN88" s="32">
        <f>CN48</f>
        <v>25.722311495673676</v>
      </c>
      <c r="CO88" s="39"/>
      <c r="CP88" s="114"/>
      <c r="CQ88" s="32">
        <f t="shared" si="0"/>
        <v>50.377939457758984</v>
      </c>
      <c r="CR88" s="114"/>
      <c r="CS88" s="114"/>
      <c r="CT88" s="39"/>
      <c r="CU88" s="39"/>
      <c r="CV88" s="39"/>
      <c r="CW88" s="39"/>
      <c r="CX88" s="39"/>
      <c r="CY88" s="39"/>
      <c r="CZ88" s="39"/>
      <c r="DA88" s="39"/>
      <c r="DB88" s="39"/>
      <c r="DC88" s="39"/>
      <c r="DD88" s="39"/>
      <c r="DE88" s="39"/>
      <c r="DF88" s="39"/>
      <c r="DG88" s="39"/>
      <c r="DH88" s="39"/>
      <c r="DI88" s="32">
        <f>((DI32+DI72+DI74)/3)*Prop_req_accom</f>
        <v>1736.2304327626548</v>
      </c>
      <c r="DJ88" s="39"/>
      <c r="DK88" s="39"/>
      <c r="DL88" s="39"/>
      <c r="DM88" s="39"/>
      <c r="DN88" s="39"/>
      <c r="DO88" s="39"/>
      <c r="DP88" s="39"/>
      <c r="DQ88" s="39"/>
      <c r="DR88" s="39"/>
      <c r="DS88" s="39"/>
      <c r="DT88" s="39"/>
      <c r="DU88" s="32">
        <f>DU74</f>
        <v>31994.125941872979</v>
      </c>
      <c r="DV88" s="39"/>
      <c r="DW88" s="39"/>
      <c r="DX88" s="39"/>
      <c r="DY88" s="39"/>
      <c r="DZ88" s="39"/>
      <c r="EA88" s="39"/>
      <c r="EB88" s="39"/>
      <c r="EC88" s="39"/>
      <c r="ED88" s="39"/>
      <c r="EE88" s="39"/>
      <c r="EF88" s="39"/>
      <c r="EG88" s="39"/>
      <c r="EH88" s="39"/>
      <c r="EI88" s="39"/>
      <c r="EJ88" s="39"/>
      <c r="EK88" s="39"/>
      <c r="EL88" s="39"/>
      <c r="EM88" s="32">
        <f>EM72</f>
        <v>705.52756959314775</v>
      </c>
      <c r="EN88" s="39"/>
      <c r="EO88" s="39"/>
      <c r="EP88" s="32">
        <f>EP8</f>
        <v>4445.5215686274505</v>
      </c>
      <c r="EQ88" s="39"/>
      <c r="ER88" s="39"/>
      <c r="ES88" s="32">
        <f>ES6</f>
        <v>6215.0468314424197</v>
      </c>
      <c r="ET88" s="39"/>
      <c r="EU88" s="39"/>
      <c r="EV88" s="32">
        <f>0</f>
        <v>0</v>
      </c>
      <c r="EW88" s="39"/>
      <c r="EX88" s="114"/>
      <c r="EY88" s="32">
        <f t="shared" si="4"/>
        <v>10660.568400069871</v>
      </c>
      <c r="EZ88" s="114"/>
      <c r="FA88" s="114"/>
      <c r="FB88" s="32">
        <f>FB32</f>
        <v>158.37899999999999</v>
      </c>
      <c r="FC88" s="39"/>
      <c r="FD88" s="39"/>
      <c r="FE88" s="32">
        <f>FE6</f>
        <v>170.48960126114636</v>
      </c>
      <c r="FF88" s="39"/>
      <c r="FG88" s="39"/>
      <c r="FH88" s="32">
        <f>FH8</f>
        <v>23145.11306532663</v>
      </c>
      <c r="FI88" s="39"/>
      <c r="FJ88" s="114"/>
      <c r="FK88" s="32">
        <f t="shared" si="1"/>
        <v>23473.981666587777</v>
      </c>
      <c r="FL88" s="114"/>
      <c r="FM88" s="114"/>
      <c r="FN88" s="32">
        <f>FN32</f>
        <v>3431.5450000000001</v>
      </c>
      <c r="FO88" s="39"/>
      <c r="FP88" s="39"/>
      <c r="FQ88" s="32">
        <f>0</f>
        <v>0</v>
      </c>
      <c r="FR88" s="39"/>
      <c r="FS88" s="39"/>
      <c r="FT88" s="32">
        <f>IF(FT28-FU28&lt;0,0,FT28-FU28)</f>
        <v>11.50114406822221</v>
      </c>
      <c r="FU88" s="114"/>
      <c r="FV88" s="116"/>
      <c r="FW88" s="32">
        <f t="shared" si="5"/>
        <v>3443.0461440682225</v>
      </c>
      <c r="FX88" s="116"/>
      <c r="FY88" s="23"/>
      <c r="FZ88" s="32">
        <f t="shared" si="2"/>
        <v>4252.8115059550846</v>
      </c>
      <c r="GA88" s="32">
        <f t="shared" si="3"/>
        <v>72013.480154954668</v>
      </c>
      <c r="GB88" s="32">
        <f t="shared" si="6"/>
        <v>76266.291660909759</v>
      </c>
      <c r="GC88" s="23"/>
    </row>
    <row r="89" spans="1:185" s="83" customFormat="1" x14ac:dyDescent="0.3">
      <c r="A89" s="4"/>
      <c r="B89" s="39"/>
      <c r="C89" s="94"/>
      <c r="D89" s="39" t="s">
        <v>140</v>
      </c>
      <c r="E89" s="39">
        <v>1</v>
      </c>
      <c r="F89" s="39"/>
      <c r="G89" s="39"/>
      <c r="H89" s="39"/>
      <c r="I89" s="39"/>
      <c r="J89" s="39"/>
      <c r="K89" s="39"/>
      <c r="L89" s="39"/>
      <c r="M89" s="39"/>
      <c r="N89" s="39"/>
      <c r="O89" s="39"/>
      <c r="P89" s="39"/>
      <c r="Q89" s="32">
        <f>(Q32+Q24)/2</f>
        <v>3771.0918794996564</v>
      </c>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2">
        <f>IF(CH28-CI28&lt;0,0,CH28-CI28)</f>
        <v>12820.846990557897</v>
      </c>
      <c r="CI89" s="39"/>
      <c r="CJ89" s="39"/>
      <c r="CK89" s="32">
        <f>CK32</f>
        <v>24.655627962085308</v>
      </c>
      <c r="CL89" s="39"/>
      <c r="CM89" s="39"/>
      <c r="CN89" s="32">
        <f>CN55</f>
        <v>93.444404145077726</v>
      </c>
      <c r="CO89" s="39"/>
      <c r="CP89" s="114"/>
      <c r="CQ89" s="32">
        <f t="shared" si="0"/>
        <v>118.10003210716303</v>
      </c>
      <c r="CR89" s="114"/>
      <c r="CS89" s="114"/>
      <c r="CT89" s="39"/>
      <c r="CU89" s="39"/>
      <c r="CV89" s="39"/>
      <c r="CW89" s="39"/>
      <c r="CX89" s="39"/>
      <c r="CY89" s="39"/>
      <c r="CZ89" s="39"/>
      <c r="DA89" s="39"/>
      <c r="DB89" s="39"/>
      <c r="DC89" s="39"/>
      <c r="DD89" s="39"/>
      <c r="DE89" s="39"/>
      <c r="DF89" s="39"/>
      <c r="DG89" s="39"/>
      <c r="DH89" s="39"/>
      <c r="DI89" s="32">
        <f>((DI32+DI72+DI74)/3)*Prop_req_accom</f>
        <v>1736.2304327626548</v>
      </c>
      <c r="DJ89" s="39"/>
      <c r="DK89" s="39"/>
      <c r="DL89" s="39"/>
      <c r="DM89" s="39"/>
      <c r="DN89" s="39"/>
      <c r="DO89" s="39"/>
      <c r="DP89" s="39"/>
      <c r="DQ89" s="39"/>
      <c r="DR89" s="39"/>
      <c r="DS89" s="39"/>
      <c r="DT89" s="39"/>
      <c r="DU89" s="32">
        <f>DU74</f>
        <v>31994.125941872979</v>
      </c>
      <c r="DV89" s="39"/>
      <c r="DW89" s="39"/>
      <c r="DX89" s="39"/>
      <c r="DY89" s="39"/>
      <c r="DZ89" s="39"/>
      <c r="EA89" s="39"/>
      <c r="EB89" s="39"/>
      <c r="EC89" s="39"/>
      <c r="ED89" s="39"/>
      <c r="EE89" s="39"/>
      <c r="EF89" s="39"/>
      <c r="EG89" s="39"/>
      <c r="EH89" s="39"/>
      <c r="EI89" s="39"/>
      <c r="EJ89" s="39"/>
      <c r="EK89" s="39"/>
      <c r="EL89" s="39"/>
      <c r="EM89" s="32">
        <f>EM72</f>
        <v>705.52756959314775</v>
      </c>
      <c r="EN89" s="39"/>
      <c r="EO89" s="39"/>
      <c r="EP89" s="32">
        <f>EP30</f>
        <v>6175.0780000000004</v>
      </c>
      <c r="EQ89" s="39"/>
      <c r="ER89" s="39"/>
      <c r="ES89" s="32">
        <f>ES6</f>
        <v>6215.0468314424197</v>
      </c>
      <c r="ET89" s="39"/>
      <c r="EU89" s="39"/>
      <c r="EV89" s="32">
        <f>0</f>
        <v>0</v>
      </c>
      <c r="EW89" s="39"/>
      <c r="EX89" s="114"/>
      <c r="EY89" s="32">
        <f t="shared" si="4"/>
        <v>12390.124831442419</v>
      </c>
      <c r="EZ89" s="114"/>
      <c r="FA89" s="114"/>
      <c r="FB89" s="32">
        <f>FB32</f>
        <v>158.37899999999999</v>
      </c>
      <c r="FC89" s="39"/>
      <c r="FD89" s="39"/>
      <c r="FE89" s="32">
        <f>FE6</f>
        <v>170.48960126114636</v>
      </c>
      <c r="FF89" s="39"/>
      <c r="FG89" s="39"/>
      <c r="FH89" s="32">
        <f>FH9</f>
        <v>16591.055276381911</v>
      </c>
      <c r="FI89" s="39"/>
      <c r="FJ89" s="114"/>
      <c r="FK89" s="32">
        <f t="shared" si="1"/>
        <v>16919.923877643057</v>
      </c>
      <c r="FL89" s="114"/>
      <c r="FM89" s="114"/>
      <c r="FN89" s="32">
        <f>FN32</f>
        <v>3431.5450000000001</v>
      </c>
      <c r="FO89" s="39"/>
      <c r="FP89" s="39"/>
      <c r="FQ89" s="32">
        <f>0</f>
        <v>0</v>
      </c>
      <c r="FR89" s="39"/>
      <c r="FS89" s="39"/>
      <c r="FT89" s="32">
        <f>IF(FT28-FU28&lt;0,0,FT28-FU28)</f>
        <v>11.50114406822221</v>
      </c>
      <c r="FU89" s="114"/>
      <c r="FV89" s="116"/>
      <c r="FW89" s="32">
        <f t="shared" si="5"/>
        <v>3443.0461440682225</v>
      </c>
      <c r="FX89" s="116"/>
      <c r="FY89" s="23"/>
      <c r="FZ89" s="32">
        <f t="shared" si="2"/>
        <v>16710.038902164717</v>
      </c>
      <c r="GA89" s="32">
        <f t="shared" si="3"/>
        <v>67188.978797382486</v>
      </c>
      <c r="GB89" s="32">
        <f t="shared" si="6"/>
        <v>83899.017699547199</v>
      </c>
      <c r="GC89" s="23"/>
    </row>
    <row r="90" spans="1:185" s="83" customFormat="1" x14ac:dyDescent="0.3">
      <c r="A90" s="4"/>
      <c r="B90" s="23"/>
      <c r="C90" s="23"/>
      <c r="D90" s="23"/>
      <c r="E90" s="23"/>
      <c r="F90" s="31"/>
      <c r="G90" s="23"/>
      <c r="H90" s="23"/>
      <c r="I90" s="23"/>
      <c r="J90" s="23"/>
      <c r="K90" s="23"/>
      <c r="L90" s="23"/>
      <c r="M90" s="23"/>
      <c r="N90" s="23"/>
      <c r="O90" s="23"/>
      <c r="P90" s="23"/>
      <c r="Q90" s="31"/>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31"/>
      <c r="CI90" s="23"/>
      <c r="CJ90" s="23"/>
      <c r="CK90" s="31"/>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31"/>
      <c r="DJ90" s="23"/>
      <c r="DK90" s="23"/>
      <c r="DL90" s="23"/>
      <c r="DM90" s="23"/>
      <c r="DN90" s="23"/>
      <c r="DO90" s="23"/>
      <c r="DP90" s="23"/>
      <c r="DQ90" s="23"/>
      <c r="DR90" s="23"/>
      <c r="DS90" s="23"/>
      <c r="DT90" s="23"/>
      <c r="DU90" s="31"/>
      <c r="DV90" s="23"/>
      <c r="DW90" s="23"/>
      <c r="DX90" s="23"/>
      <c r="DY90" s="23"/>
      <c r="DZ90" s="23"/>
      <c r="EA90" s="23"/>
      <c r="EB90" s="23"/>
      <c r="EC90" s="23"/>
      <c r="ED90" s="23"/>
      <c r="EE90" s="23"/>
      <c r="EF90" s="23"/>
      <c r="EG90" s="23"/>
      <c r="EH90" s="23"/>
      <c r="EI90" s="23"/>
      <c r="EJ90" s="23"/>
      <c r="EK90" s="23"/>
      <c r="EL90" s="23"/>
      <c r="EM90" s="31"/>
      <c r="EN90" s="23"/>
      <c r="EO90" s="23"/>
      <c r="EP90" s="31"/>
      <c r="EQ90" s="23"/>
      <c r="ER90" s="23"/>
      <c r="ES90" s="31"/>
      <c r="ET90" s="23"/>
      <c r="EU90" s="23"/>
      <c r="EV90" s="31"/>
      <c r="EW90" s="23"/>
      <c r="EX90" s="23"/>
      <c r="EY90" s="23"/>
      <c r="EZ90" s="23"/>
      <c r="FA90" s="23"/>
      <c r="FB90" s="31"/>
      <c r="FC90" s="23"/>
      <c r="FD90" s="23"/>
      <c r="FE90" s="31"/>
      <c r="FF90" s="23"/>
      <c r="FG90" s="23"/>
      <c r="FH90" s="31"/>
      <c r="FI90" s="23"/>
      <c r="FJ90" s="23"/>
      <c r="FK90" s="23"/>
      <c r="FL90" s="23"/>
      <c r="FM90" s="23"/>
      <c r="FN90" s="31"/>
      <c r="FO90" s="23"/>
      <c r="FP90" s="23"/>
      <c r="FQ90" s="31"/>
      <c r="FR90" s="23"/>
      <c r="FS90" s="23"/>
      <c r="FT90" s="31"/>
      <c r="FU90" s="31"/>
      <c r="FV90" s="31"/>
      <c r="FW90" s="31"/>
      <c r="FX90" s="31"/>
      <c r="FY90" s="23"/>
      <c r="FZ90" s="3"/>
      <c r="GA90" s="16" t="s">
        <v>190</v>
      </c>
      <c r="GB90" s="3"/>
      <c r="GC90" s="23"/>
    </row>
    <row r="91" spans="1:185" s="83" customFormat="1" x14ac:dyDescent="0.3">
      <c r="A91" s="4"/>
      <c r="B91" s="27"/>
      <c r="C91" s="27"/>
      <c r="D91" s="27"/>
      <c r="E91" s="48"/>
      <c r="F91" s="27"/>
      <c r="G91" s="27"/>
      <c r="H91" s="27"/>
      <c r="I91" s="27"/>
      <c r="J91" s="27"/>
      <c r="K91" s="27"/>
      <c r="L91" s="27"/>
      <c r="M91" s="27"/>
      <c r="N91" s="27"/>
      <c r="O91" s="27"/>
      <c r="P91" s="27"/>
      <c r="Q91" s="25"/>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5"/>
      <c r="CI91" s="27"/>
      <c r="CJ91" s="27"/>
      <c r="CK91" s="25"/>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5"/>
      <c r="DJ91" s="27"/>
      <c r="DK91" s="27"/>
      <c r="DL91" s="27"/>
      <c r="DM91" s="27"/>
      <c r="DN91" s="27"/>
      <c r="DO91" s="27"/>
      <c r="DP91" s="27"/>
      <c r="DQ91" s="27"/>
      <c r="DR91" s="27"/>
      <c r="DS91" s="27"/>
      <c r="DT91" s="27"/>
      <c r="DU91" s="25"/>
      <c r="DV91" s="27"/>
      <c r="DW91" s="27"/>
      <c r="DX91" s="27"/>
      <c r="DY91" s="27"/>
      <c r="DZ91" s="27"/>
      <c r="EA91" s="27"/>
      <c r="EB91" s="27"/>
      <c r="EC91" s="27"/>
      <c r="ED91" s="27"/>
      <c r="EE91" s="27"/>
      <c r="EF91" s="27"/>
      <c r="EG91" s="27"/>
      <c r="EH91" s="27"/>
      <c r="EI91" s="27"/>
      <c r="EJ91" s="27"/>
      <c r="EK91" s="27"/>
      <c r="EL91" s="27"/>
      <c r="EM91" s="25"/>
      <c r="EN91" s="27"/>
      <c r="EO91" s="27"/>
      <c r="EP91" s="25"/>
      <c r="EQ91" s="27"/>
      <c r="ER91" s="27"/>
      <c r="ES91" s="25"/>
      <c r="ET91" s="27"/>
      <c r="EU91" s="27"/>
      <c r="EV91" s="25"/>
      <c r="EW91" s="27"/>
      <c r="EX91" s="27"/>
      <c r="EY91" s="27"/>
      <c r="EZ91" s="27"/>
      <c r="FA91" s="27"/>
      <c r="FB91" s="25"/>
      <c r="FC91" s="27"/>
      <c r="FD91" s="27"/>
      <c r="FE91" s="25"/>
      <c r="FF91" s="27"/>
      <c r="FG91" s="27"/>
      <c r="FH91" s="25"/>
      <c r="FI91" s="27"/>
      <c r="FJ91" s="27"/>
      <c r="FK91" s="27"/>
      <c r="FL91" s="27"/>
      <c r="FM91" s="27"/>
      <c r="FN91" s="25"/>
      <c r="FO91" s="27"/>
      <c r="FP91" s="27"/>
      <c r="FQ91" s="25"/>
      <c r="FR91" s="27"/>
      <c r="FS91" s="27"/>
      <c r="FT91" s="25"/>
      <c r="FU91" s="25"/>
      <c r="FV91" s="25"/>
      <c r="FW91" s="25"/>
      <c r="FX91" s="25"/>
      <c r="FY91" s="23"/>
      <c r="FZ91" s="47" t="s">
        <v>145</v>
      </c>
      <c r="GA91" s="47" t="s">
        <v>146</v>
      </c>
      <c r="GB91" s="47" t="s">
        <v>147</v>
      </c>
      <c r="GC91" s="23"/>
    </row>
    <row r="92" spans="1:185" s="83" customFormat="1" x14ac:dyDescent="0.3">
      <c r="A92" s="4"/>
      <c r="B92" s="75"/>
      <c r="C92" s="94"/>
      <c r="D92" s="75" t="s">
        <v>132</v>
      </c>
      <c r="E92" s="75">
        <v>1</v>
      </c>
      <c r="F92" s="75"/>
      <c r="G92" s="75"/>
      <c r="H92" s="75"/>
      <c r="I92" s="75"/>
      <c r="J92" s="75"/>
      <c r="K92" s="75"/>
      <c r="L92" s="75"/>
      <c r="M92" s="75"/>
      <c r="N92" s="75"/>
      <c r="O92" s="75"/>
      <c r="P92" s="75"/>
      <c r="Q92" s="32">
        <f>(Q62+Q63)/2</f>
        <v>13430.505801104971</v>
      </c>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32">
        <f>CH30</f>
        <v>961.569490521327</v>
      </c>
      <c r="CI92" s="75"/>
      <c r="CJ92" s="75"/>
      <c r="CK92" s="32">
        <f>CK30</f>
        <v>0</v>
      </c>
      <c r="CL92" s="75"/>
      <c r="CM92" s="75"/>
      <c r="CN92" s="32">
        <f>(CN47+CN48)/2</f>
        <v>40.298288009888758</v>
      </c>
      <c r="CO92" s="75"/>
      <c r="CP92" s="114"/>
      <c r="CQ92" s="32">
        <f t="shared" ref="CQ92:CQ100" si="7">CK92+CN92</f>
        <v>40.298288009888758</v>
      </c>
      <c r="CR92" s="114"/>
      <c r="CS92" s="114"/>
      <c r="CT92" s="75"/>
      <c r="CU92" s="75"/>
      <c r="CV92" s="75"/>
      <c r="CW92" s="75"/>
      <c r="CX92" s="75"/>
      <c r="CY92" s="75"/>
      <c r="CZ92" s="75"/>
      <c r="DA92" s="75"/>
      <c r="DB92" s="75"/>
      <c r="DC92" s="75"/>
      <c r="DD92" s="75"/>
      <c r="DE92" s="75"/>
      <c r="DF92" s="75"/>
      <c r="DG92" s="75"/>
      <c r="DH92" s="75"/>
      <c r="DI92" s="32">
        <f>(DI30+DI70+DI73)/3</f>
        <v>1042.2083918344504</v>
      </c>
      <c r="DJ92" s="75"/>
      <c r="DK92" s="75"/>
      <c r="DL92" s="75"/>
      <c r="DM92" s="75"/>
      <c r="DN92" s="75"/>
      <c r="DO92" s="75"/>
      <c r="DP92" s="75"/>
      <c r="DQ92" s="75"/>
      <c r="DR92" s="75"/>
      <c r="DS92" s="75"/>
      <c r="DT92" s="75"/>
      <c r="DU92" s="32">
        <f>DU70</f>
        <v>3781.6277730192719</v>
      </c>
      <c r="DV92" s="75"/>
      <c r="DW92" s="75"/>
      <c r="DX92" s="75"/>
      <c r="DY92" s="75"/>
      <c r="DZ92" s="75"/>
      <c r="EA92" s="75"/>
      <c r="EB92" s="75"/>
      <c r="EC92" s="75"/>
      <c r="ED92" s="75"/>
      <c r="EE92" s="75"/>
      <c r="EF92" s="75"/>
      <c r="EG92" s="75"/>
      <c r="EH92" s="75"/>
      <c r="EI92" s="75"/>
      <c r="EJ92" s="75"/>
      <c r="EK92" s="75"/>
      <c r="EL92" s="75"/>
      <c r="EM92" s="32">
        <f>(EM69+EM70+EM73)/3</f>
        <v>5460.1194176080598</v>
      </c>
      <c r="EN92" s="75"/>
      <c r="EO92" s="75"/>
      <c r="EP92" s="32">
        <f>(EP7+EP30+EP69)/3</f>
        <v>6008.9858400581606</v>
      </c>
      <c r="EQ92" s="75"/>
      <c r="ER92" s="75"/>
      <c r="ES92" s="32">
        <f>ES6</f>
        <v>6215.0468314424197</v>
      </c>
      <c r="ET92" s="75"/>
      <c r="EU92" s="75"/>
      <c r="EV92" s="32">
        <f>0</f>
        <v>0</v>
      </c>
      <c r="EW92" s="114"/>
      <c r="EX92" s="114"/>
      <c r="EY92" s="32">
        <f>EP81+ES81+EV81</f>
        <v>11847.794923045472</v>
      </c>
      <c r="EZ92" s="114"/>
      <c r="FA92" s="114"/>
      <c r="FB92" s="32">
        <f>0</f>
        <v>0</v>
      </c>
      <c r="FC92" s="75"/>
      <c r="FD92" s="75"/>
      <c r="FE92" s="32">
        <f>FE6</f>
        <v>170.48960126114636</v>
      </c>
      <c r="FF92" s="75"/>
      <c r="FG92" s="75"/>
      <c r="FH92" s="32">
        <f>FH7</f>
        <v>14199.535175879397</v>
      </c>
      <c r="FI92" s="75"/>
      <c r="FJ92" s="114"/>
      <c r="FK92" s="32">
        <f t="shared" ref="FK92:FK100" si="8">FB92+FE92+FH92</f>
        <v>14370.024777140543</v>
      </c>
      <c r="FL92" s="114"/>
      <c r="FM92" s="114"/>
      <c r="FN92" s="32">
        <f>(FN30+FN69+FN73)/3</f>
        <v>7968.42975829853</v>
      </c>
      <c r="FO92" s="75"/>
      <c r="FP92" s="75"/>
      <c r="FQ92" s="32">
        <f>0</f>
        <v>0</v>
      </c>
      <c r="FR92" s="75"/>
      <c r="FS92" s="75"/>
      <c r="FT92" s="32">
        <f>0</f>
        <v>0</v>
      </c>
      <c r="FU92" s="114"/>
      <c r="FV92" s="116"/>
      <c r="FW92" s="32">
        <f>FN92+FQ92+FT92</f>
        <v>7968.42975829853</v>
      </c>
      <c r="FX92" s="116"/>
      <c r="FY92" s="23"/>
      <c r="FZ92" s="32">
        <f t="shared" ref="FZ92:FZ100" si="9">Q92+CH92+CK92+CN92</f>
        <v>14432.373579636187</v>
      </c>
      <c r="GA92" s="32">
        <f>DI92+DU92+EM92+EP92+ES92+EV92+FB92+FE92+FH92+FN92+FQ92+FT92</f>
        <v>44846.442789401437</v>
      </c>
      <c r="GB92" s="32">
        <f>FZ92+GA92</f>
        <v>59278.816369037624</v>
      </c>
      <c r="GC92" s="23"/>
    </row>
    <row r="93" spans="1:185" s="83" customFormat="1" x14ac:dyDescent="0.3">
      <c r="A93" s="4"/>
      <c r="B93" s="75"/>
      <c r="C93" s="94"/>
      <c r="D93" s="75" t="s">
        <v>133</v>
      </c>
      <c r="E93" s="75">
        <v>1</v>
      </c>
      <c r="F93" s="75"/>
      <c r="G93" s="75"/>
      <c r="H93" s="75"/>
      <c r="I93" s="75"/>
      <c r="J93" s="75"/>
      <c r="K93" s="75"/>
      <c r="L93" s="75"/>
      <c r="M93" s="75"/>
      <c r="N93" s="75"/>
      <c r="O93" s="75"/>
      <c r="P93" s="75"/>
      <c r="Q93" s="32">
        <f>(Q62+Q63)/2</f>
        <v>13430.505801104971</v>
      </c>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32">
        <f>CH30</f>
        <v>961.569490521327</v>
      </c>
      <c r="CI93" s="75"/>
      <c r="CJ93" s="75"/>
      <c r="CK93" s="32">
        <f>CK30</f>
        <v>0</v>
      </c>
      <c r="CL93" s="75"/>
      <c r="CM93" s="75"/>
      <c r="CN93" s="32">
        <f>(CN48+CN47)/2</f>
        <v>40.298288009888758</v>
      </c>
      <c r="CO93" s="75"/>
      <c r="CP93" s="114"/>
      <c r="CQ93" s="32">
        <f t="shared" si="7"/>
        <v>40.298288009888758</v>
      </c>
      <c r="CR93" s="114"/>
      <c r="CS93" s="114"/>
      <c r="CT93" s="75"/>
      <c r="CU93" s="75"/>
      <c r="CV93" s="75"/>
      <c r="CW93" s="75"/>
      <c r="CX93" s="75"/>
      <c r="CY93" s="75"/>
      <c r="CZ93" s="75"/>
      <c r="DA93" s="75"/>
      <c r="DB93" s="75"/>
      <c r="DC93" s="75"/>
      <c r="DD93" s="75"/>
      <c r="DE93" s="75"/>
      <c r="DF93" s="75"/>
      <c r="DG93" s="75"/>
      <c r="DH93" s="75"/>
      <c r="DI93" s="32">
        <f>(DI30+DI70+DI73)/3</f>
        <v>1042.2083918344504</v>
      </c>
      <c r="DJ93" s="75"/>
      <c r="DK93" s="75"/>
      <c r="DL93" s="75"/>
      <c r="DM93" s="75"/>
      <c r="DN93" s="75"/>
      <c r="DO93" s="75"/>
      <c r="DP93" s="75"/>
      <c r="DQ93" s="75"/>
      <c r="DR93" s="75"/>
      <c r="DS93" s="75"/>
      <c r="DT93" s="75"/>
      <c r="DU93" s="32">
        <f>DU70</f>
        <v>3781.6277730192719</v>
      </c>
      <c r="DV93" s="75"/>
      <c r="DW93" s="75"/>
      <c r="DX93" s="75"/>
      <c r="DY93" s="75"/>
      <c r="DZ93" s="75"/>
      <c r="EA93" s="75"/>
      <c r="EB93" s="75"/>
      <c r="EC93" s="75"/>
      <c r="ED93" s="75"/>
      <c r="EE93" s="75"/>
      <c r="EF93" s="75"/>
      <c r="EG93" s="75"/>
      <c r="EH93" s="75"/>
      <c r="EI93" s="75"/>
      <c r="EJ93" s="75"/>
      <c r="EK93" s="75"/>
      <c r="EL93" s="75"/>
      <c r="EM93" s="32">
        <f>(EM69+EM70+EM73)/3</f>
        <v>5460.1194176080598</v>
      </c>
      <c r="EN93" s="75"/>
      <c r="EO93" s="75"/>
      <c r="EP93" s="32">
        <f>(EP8+EP30+EP69)/3</f>
        <v>5613.2436657329599</v>
      </c>
      <c r="EQ93" s="75"/>
      <c r="ER93" s="75"/>
      <c r="ES93" s="32">
        <f>ES6</f>
        <v>6215.0468314424197</v>
      </c>
      <c r="ET93" s="75"/>
      <c r="EU93" s="75"/>
      <c r="EV93" s="32">
        <f>0</f>
        <v>0</v>
      </c>
      <c r="EW93" s="114"/>
      <c r="EX93" s="114"/>
      <c r="EY93" s="32">
        <f t="shared" ref="EY93:EY100" si="10">EP93+ES93+EV93</f>
        <v>11828.29049717538</v>
      </c>
      <c r="EZ93" s="114"/>
      <c r="FA93" s="114"/>
      <c r="FB93" s="32">
        <f>0</f>
        <v>0</v>
      </c>
      <c r="FC93" s="75"/>
      <c r="FD93" s="75"/>
      <c r="FE93" s="32">
        <f>FE6</f>
        <v>170.48960126114636</v>
      </c>
      <c r="FF93" s="75"/>
      <c r="FG93" s="75"/>
      <c r="FH93" s="32">
        <f>FH8</f>
        <v>23145.11306532663</v>
      </c>
      <c r="FI93" s="75"/>
      <c r="FJ93" s="114"/>
      <c r="FK93" s="32">
        <f t="shared" si="8"/>
        <v>23315.602666587776</v>
      </c>
      <c r="FL93" s="114"/>
      <c r="FM93" s="114"/>
      <c r="FN93" s="32">
        <f>(FN30+FN69+FN73)/3</f>
        <v>7968.42975829853</v>
      </c>
      <c r="FO93" s="75"/>
      <c r="FP93" s="75"/>
      <c r="FQ93" s="32">
        <f>0</f>
        <v>0</v>
      </c>
      <c r="FR93" s="75"/>
      <c r="FS93" s="75"/>
      <c r="FT93" s="32">
        <f>0</f>
        <v>0</v>
      </c>
      <c r="FU93" s="114"/>
      <c r="FV93" s="116"/>
      <c r="FW93" s="32">
        <f t="shared" ref="FW93:FW100" si="11">FN93+FQ93+FT93</f>
        <v>7968.42975829853</v>
      </c>
      <c r="FX93" s="116"/>
      <c r="FY93" s="23"/>
      <c r="FZ93" s="32">
        <f t="shared" si="9"/>
        <v>14432.373579636187</v>
      </c>
      <c r="GA93" s="32">
        <f>DI93+DU93+EM93+EP93+ES93+EV93+FB93+FE93+FH93+FN93+FQ93+FT93</f>
        <v>53396.278504523463</v>
      </c>
      <c r="GB93" s="32">
        <f t="shared" ref="GB93:GB100" si="12">FZ93+GA93</f>
        <v>67828.65208415965</v>
      </c>
      <c r="GC93" s="23"/>
    </row>
    <row r="94" spans="1:185" s="83" customFormat="1" x14ac:dyDescent="0.3">
      <c r="A94" s="4"/>
      <c r="B94" s="75"/>
      <c r="C94" s="94"/>
      <c r="D94" s="75" t="s">
        <v>134</v>
      </c>
      <c r="E94" s="75">
        <v>1</v>
      </c>
      <c r="F94" s="75"/>
      <c r="G94" s="75"/>
      <c r="H94" s="75"/>
      <c r="I94" s="75"/>
      <c r="J94" s="75"/>
      <c r="K94" s="75"/>
      <c r="L94" s="75"/>
      <c r="M94" s="75"/>
      <c r="N94" s="75"/>
      <c r="O94" s="75"/>
      <c r="P94" s="75"/>
      <c r="Q94" s="32">
        <f>(Q62+Q63)/2</f>
        <v>13430.505801104971</v>
      </c>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32">
        <f>CH30</f>
        <v>961.569490521327</v>
      </c>
      <c r="CI94" s="75"/>
      <c r="CJ94" s="75"/>
      <c r="CK94" s="32">
        <f>CK30</f>
        <v>0</v>
      </c>
      <c r="CL94" s="75"/>
      <c r="CM94" s="75"/>
      <c r="CN94" s="32">
        <f>(CN54+CN55)/2</f>
        <v>186.88880829015545</v>
      </c>
      <c r="CO94" s="75"/>
      <c r="CP94" s="114"/>
      <c r="CQ94" s="32">
        <f t="shared" si="7"/>
        <v>186.88880829015545</v>
      </c>
      <c r="CR94" s="114"/>
      <c r="CS94" s="114"/>
      <c r="CT94" s="75"/>
      <c r="CU94" s="75"/>
      <c r="CV94" s="75"/>
      <c r="CW94" s="75"/>
      <c r="CX94" s="75"/>
      <c r="CY94" s="75"/>
      <c r="CZ94" s="75"/>
      <c r="DA94" s="75"/>
      <c r="DB94" s="75"/>
      <c r="DC94" s="75"/>
      <c r="DD94" s="75"/>
      <c r="DE94" s="75"/>
      <c r="DF94" s="75"/>
      <c r="DG94" s="75"/>
      <c r="DH94" s="75"/>
      <c r="DI94" s="32">
        <f>(DI30+DI70+DI73)/3</f>
        <v>1042.2083918344504</v>
      </c>
      <c r="DJ94" s="75"/>
      <c r="DK94" s="75"/>
      <c r="DL94" s="75"/>
      <c r="DM94" s="75"/>
      <c r="DN94" s="75"/>
      <c r="DO94" s="75"/>
      <c r="DP94" s="75"/>
      <c r="DQ94" s="75"/>
      <c r="DR94" s="75"/>
      <c r="DS94" s="75"/>
      <c r="DT94" s="75"/>
      <c r="DU94" s="32">
        <f>DU70</f>
        <v>3781.6277730192719</v>
      </c>
      <c r="DV94" s="75"/>
      <c r="DW94" s="75"/>
      <c r="DX94" s="75"/>
      <c r="DY94" s="75"/>
      <c r="DZ94" s="75"/>
      <c r="EA94" s="75"/>
      <c r="EB94" s="75"/>
      <c r="EC94" s="75"/>
      <c r="ED94" s="75"/>
      <c r="EE94" s="75"/>
      <c r="EF94" s="75"/>
      <c r="EG94" s="75"/>
      <c r="EH94" s="75"/>
      <c r="EI94" s="75"/>
      <c r="EJ94" s="75"/>
      <c r="EK94" s="75"/>
      <c r="EL94" s="75"/>
      <c r="EM94" s="32">
        <f>(EM69+EM70+EM73)/3</f>
        <v>5460.1194176080598</v>
      </c>
      <c r="EN94" s="75"/>
      <c r="EO94" s="75"/>
      <c r="EP94" s="32">
        <f>(EP9+EP30+EP69)/3</f>
        <v>6354.8278342151671</v>
      </c>
      <c r="EQ94" s="75"/>
      <c r="ER94" s="75"/>
      <c r="ES94" s="32">
        <f>ES6</f>
        <v>6215.0468314424197</v>
      </c>
      <c r="ET94" s="75"/>
      <c r="EU94" s="75"/>
      <c r="EV94" s="32">
        <f>0</f>
        <v>0</v>
      </c>
      <c r="EW94" s="75"/>
      <c r="EX94" s="114"/>
      <c r="EY94" s="32">
        <f t="shared" si="10"/>
        <v>12569.874665657586</v>
      </c>
      <c r="EZ94" s="114"/>
      <c r="FA94" s="114"/>
      <c r="FB94" s="32">
        <f>0</f>
        <v>0</v>
      </c>
      <c r="FC94" s="75"/>
      <c r="FD94" s="75"/>
      <c r="FE94" s="32">
        <f>FE6</f>
        <v>170.48960126114636</v>
      </c>
      <c r="FF94" s="75"/>
      <c r="FG94" s="75"/>
      <c r="FH94" s="32">
        <f>FH9</f>
        <v>16591.055276381911</v>
      </c>
      <c r="FI94" s="75"/>
      <c r="FJ94" s="114"/>
      <c r="FK94" s="32">
        <f t="shared" si="8"/>
        <v>16761.544877643057</v>
      </c>
      <c r="FL94" s="114"/>
      <c r="FM94" s="114"/>
      <c r="FN94" s="32">
        <f>(FN30+FN69+FN73)/3</f>
        <v>7968.42975829853</v>
      </c>
      <c r="FO94" s="75"/>
      <c r="FP94" s="75"/>
      <c r="FQ94" s="32">
        <f>0</f>
        <v>0</v>
      </c>
      <c r="FR94" s="75"/>
      <c r="FS94" s="75"/>
      <c r="FT94" s="32">
        <f>0</f>
        <v>0</v>
      </c>
      <c r="FU94" s="114"/>
      <c r="FV94" s="116"/>
      <c r="FW94" s="32">
        <f t="shared" si="11"/>
        <v>7968.42975829853</v>
      </c>
      <c r="FX94" s="116"/>
      <c r="FY94" s="23"/>
      <c r="FZ94" s="32">
        <f t="shared" si="9"/>
        <v>14578.964099916455</v>
      </c>
      <c r="GA94" s="32">
        <f>DI94+DU94+EM94+EP94+ES94+EV94+FB94+FE94+FH94+FN94+FQ94+FT94</f>
        <v>47583.804884060955</v>
      </c>
      <c r="GB94" s="32">
        <f t="shared" si="12"/>
        <v>62162.76898397741</v>
      </c>
      <c r="GC94" s="23"/>
    </row>
    <row r="95" spans="1:185" s="83" customFormat="1" x14ac:dyDescent="0.3">
      <c r="A95" s="4"/>
      <c r="B95" s="75"/>
      <c r="C95" s="94"/>
      <c r="D95" s="75" t="s">
        <v>135</v>
      </c>
      <c r="E95" s="75">
        <v>1</v>
      </c>
      <c r="F95" s="75"/>
      <c r="G95" s="75"/>
      <c r="H95" s="75"/>
      <c r="I95" s="75"/>
      <c r="J95" s="75"/>
      <c r="K95" s="75"/>
      <c r="L95" s="75"/>
      <c r="M95" s="75"/>
      <c r="N95" s="75"/>
      <c r="O95" s="75"/>
      <c r="P95" s="75"/>
      <c r="Q95" s="32">
        <f>(Q24+Q62)/2</f>
        <v>7077.9974475981617</v>
      </c>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32">
        <f>(CH24+CH31)/2</f>
        <v>5893.0401089016777</v>
      </c>
      <c r="CI95" s="75"/>
      <c r="CJ95" s="75"/>
      <c r="CK95" s="32">
        <f>(CK24+CK31)/2</f>
        <v>888.44794662756465</v>
      </c>
      <c r="CL95" s="75"/>
      <c r="CM95" s="75"/>
      <c r="CN95" s="32">
        <f>(CN47+CN48)/2</f>
        <v>40.298288009888758</v>
      </c>
      <c r="CO95" s="75"/>
      <c r="CP95" s="114"/>
      <c r="CQ95" s="32">
        <f t="shared" si="7"/>
        <v>928.74623463745343</v>
      </c>
      <c r="CR95" s="114"/>
      <c r="CS95" s="114"/>
      <c r="CT95" s="75"/>
      <c r="CU95" s="75"/>
      <c r="CV95" s="75"/>
      <c r="CW95" s="75"/>
      <c r="CX95" s="75"/>
      <c r="CY95" s="75"/>
      <c r="CZ95" s="75"/>
      <c r="DA95" s="75"/>
      <c r="DB95" s="75"/>
      <c r="DC95" s="75"/>
      <c r="DD95" s="75"/>
      <c r="DE95" s="75"/>
      <c r="DF95" s="75"/>
      <c r="DG95" s="75"/>
      <c r="DH95" s="75"/>
      <c r="DI95" s="32">
        <f>DI74*Prop_req_accom</f>
        <v>3909.0068589881589</v>
      </c>
      <c r="DJ95" s="75"/>
      <c r="DK95" s="75"/>
      <c r="DL95" s="75"/>
      <c r="DM95" s="75"/>
      <c r="DN95" s="75"/>
      <c r="DO95" s="75"/>
      <c r="DP95" s="75"/>
      <c r="DQ95" s="75"/>
      <c r="DR95" s="75"/>
      <c r="DS95" s="75"/>
      <c r="DT95" s="75"/>
      <c r="DU95" s="32">
        <f>(DU31+DU71+DU73)/3</f>
        <v>35513.806878018702</v>
      </c>
      <c r="DV95" s="75"/>
      <c r="DW95" s="75"/>
      <c r="DX95" s="75"/>
      <c r="DY95" s="75"/>
      <c r="DZ95" s="75"/>
      <c r="EA95" s="75"/>
      <c r="EB95" s="75"/>
      <c r="EC95" s="75"/>
      <c r="ED95" s="75"/>
      <c r="EE95" s="75"/>
      <c r="EF95" s="75"/>
      <c r="EG95" s="75"/>
      <c r="EH95" s="75"/>
      <c r="EI95" s="75"/>
      <c r="EJ95" s="75"/>
      <c r="EK95" s="75"/>
      <c r="EL95" s="75"/>
      <c r="EM95" s="32">
        <f>(EM71+EM73)/2</f>
        <v>12405.337905271033</v>
      </c>
      <c r="EN95" s="75"/>
      <c r="EO95" s="75"/>
      <c r="EP95" s="32">
        <f>(EP7+EP31+EP71)/3</f>
        <v>6376.9897924391125</v>
      </c>
      <c r="EQ95" s="75"/>
      <c r="ER95" s="75"/>
      <c r="ES95" s="32">
        <f>ES6</f>
        <v>6215.0468314424197</v>
      </c>
      <c r="ET95" s="75"/>
      <c r="EU95" s="75"/>
      <c r="EV95" s="32">
        <f>0</f>
        <v>0</v>
      </c>
      <c r="EW95" s="75"/>
      <c r="EX95" s="114"/>
      <c r="EY95" s="32">
        <f t="shared" si="10"/>
        <v>12592.036623881533</v>
      </c>
      <c r="EZ95" s="114"/>
      <c r="FA95" s="114"/>
      <c r="FB95" s="32">
        <f>(FB7+FB31)/2</f>
        <v>32393.74364270152</v>
      </c>
      <c r="FC95" s="75"/>
      <c r="FD95" s="75"/>
      <c r="FE95" s="32">
        <f>FE6</f>
        <v>170.48960126114636</v>
      </c>
      <c r="FF95" s="75"/>
      <c r="FG95" s="75"/>
      <c r="FH95" s="32">
        <f>FH7</f>
        <v>14199.535175879397</v>
      </c>
      <c r="FI95" s="75"/>
      <c r="FJ95" s="114"/>
      <c r="FK95" s="32">
        <f t="shared" si="8"/>
        <v>46763.768419842061</v>
      </c>
      <c r="FL95" s="114"/>
      <c r="FM95" s="114"/>
      <c r="FN95" s="32">
        <f>(FN31+FN71+FN74)/3</f>
        <v>11485.773520203293</v>
      </c>
      <c r="FO95" s="75"/>
      <c r="FP95" s="75"/>
      <c r="FQ95" s="32">
        <f>0</f>
        <v>0</v>
      </c>
      <c r="FR95" s="75"/>
      <c r="FS95" s="75"/>
      <c r="FT95" s="32">
        <f>0</f>
        <v>0</v>
      </c>
      <c r="FU95" s="114"/>
      <c r="FV95" s="116"/>
      <c r="FW95" s="32">
        <f t="shared" si="11"/>
        <v>11485.773520203293</v>
      </c>
      <c r="FX95" s="116"/>
      <c r="FY95" s="23"/>
      <c r="FZ95" s="32">
        <f t="shared" si="9"/>
        <v>13899.783791137292</v>
      </c>
      <c r="GA95" s="32">
        <f>DI106+DU95+EM95+EP95+ES95+EV95+FB95+FE95+FH95+FN95+FQ95+FT95</f>
        <v>122709.35150926086</v>
      </c>
      <c r="GB95" s="32">
        <f t="shared" si="12"/>
        <v>136609.13530039816</v>
      </c>
      <c r="GC95" s="23"/>
    </row>
    <row r="96" spans="1:185" s="83" customFormat="1" x14ac:dyDescent="0.3">
      <c r="A96" s="4"/>
      <c r="B96" s="75"/>
      <c r="C96" s="94"/>
      <c r="D96" s="75" t="s">
        <v>136</v>
      </c>
      <c r="E96" s="75">
        <v>1</v>
      </c>
      <c r="F96" s="75"/>
      <c r="G96" s="75"/>
      <c r="H96" s="75"/>
      <c r="I96" s="75"/>
      <c r="J96" s="75"/>
      <c r="K96" s="75"/>
      <c r="L96" s="75"/>
      <c r="M96" s="75"/>
      <c r="N96" s="75"/>
      <c r="O96" s="75"/>
      <c r="P96" s="75"/>
      <c r="Q96" s="32">
        <f>(Q24+Q62)/2</f>
        <v>7077.9974475981617</v>
      </c>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32">
        <f>(CH24+CH31)/2</f>
        <v>5893.0401089016777</v>
      </c>
      <c r="CI96" s="75"/>
      <c r="CJ96" s="75"/>
      <c r="CK96" s="32">
        <f>(CK24+CK31)/2</f>
        <v>888.44794662756465</v>
      </c>
      <c r="CL96" s="75"/>
      <c r="CM96" s="75"/>
      <c r="CN96" s="32">
        <f>(CN47+CN48)/2</f>
        <v>40.298288009888758</v>
      </c>
      <c r="CO96" s="75"/>
      <c r="CP96" s="114"/>
      <c r="CQ96" s="32">
        <f t="shared" si="7"/>
        <v>928.74623463745343</v>
      </c>
      <c r="CR96" s="114"/>
      <c r="CS96" s="114"/>
      <c r="CT96" s="75"/>
      <c r="CU96" s="75"/>
      <c r="CV96" s="75"/>
      <c r="CW96" s="75"/>
      <c r="CX96" s="75"/>
      <c r="CY96" s="75"/>
      <c r="CZ96" s="75"/>
      <c r="DA96" s="75"/>
      <c r="DB96" s="75"/>
      <c r="DC96" s="75"/>
      <c r="DD96" s="75"/>
      <c r="DE96" s="75"/>
      <c r="DF96" s="75"/>
      <c r="DG96" s="75"/>
      <c r="DH96" s="75"/>
      <c r="DI96" s="32">
        <f>DI74*Prop_req_accom</f>
        <v>3909.0068589881589</v>
      </c>
      <c r="DJ96" s="75"/>
      <c r="DK96" s="75"/>
      <c r="DL96" s="75"/>
      <c r="DM96" s="75"/>
      <c r="DN96" s="75"/>
      <c r="DO96" s="75"/>
      <c r="DP96" s="75"/>
      <c r="DQ96" s="75"/>
      <c r="DR96" s="75"/>
      <c r="DS96" s="75"/>
      <c r="DT96" s="75"/>
      <c r="DU96" s="32">
        <f>(DU31+DU71+DU73)/3</f>
        <v>35513.806878018702</v>
      </c>
      <c r="DV96" s="75"/>
      <c r="DW96" s="75"/>
      <c r="DX96" s="75"/>
      <c r="DY96" s="75"/>
      <c r="DZ96" s="75"/>
      <c r="EA96" s="75"/>
      <c r="EB96" s="75"/>
      <c r="EC96" s="75"/>
      <c r="ED96" s="75"/>
      <c r="EE96" s="75"/>
      <c r="EF96" s="75"/>
      <c r="EG96" s="75"/>
      <c r="EH96" s="75"/>
      <c r="EI96" s="75"/>
      <c r="EJ96" s="75"/>
      <c r="EK96" s="75"/>
      <c r="EL96" s="75"/>
      <c r="EM96" s="32">
        <f>(EM71+EM73)/2</f>
        <v>12405.337905271033</v>
      </c>
      <c r="EN96" s="75"/>
      <c r="EO96" s="75"/>
      <c r="EP96" s="32">
        <f>(EP8+EP31+EP71)/3</f>
        <v>5981.2476181139127</v>
      </c>
      <c r="EQ96" s="75"/>
      <c r="ER96" s="75"/>
      <c r="ES96" s="32">
        <f>ES6</f>
        <v>6215.0468314424197</v>
      </c>
      <c r="ET96" s="75"/>
      <c r="EU96" s="75"/>
      <c r="EV96" s="32">
        <f>0</f>
        <v>0</v>
      </c>
      <c r="EW96" s="75"/>
      <c r="EX96" s="114"/>
      <c r="EY96" s="32">
        <f t="shared" si="10"/>
        <v>12196.294449556332</v>
      </c>
      <c r="EZ96" s="114"/>
      <c r="FA96" s="114"/>
      <c r="FB96" s="32">
        <f>(FB8+FB31)/2</f>
        <v>38338.03536383441</v>
      </c>
      <c r="FC96" s="75"/>
      <c r="FD96" s="75"/>
      <c r="FE96" s="32">
        <f>FE6</f>
        <v>170.48960126114636</v>
      </c>
      <c r="FF96" s="75"/>
      <c r="FG96" s="75"/>
      <c r="FH96" s="32">
        <f>FH8</f>
        <v>23145.11306532663</v>
      </c>
      <c r="FI96" s="75"/>
      <c r="FJ96" s="114"/>
      <c r="FK96" s="32">
        <f t="shared" si="8"/>
        <v>61653.638030422189</v>
      </c>
      <c r="FL96" s="114"/>
      <c r="FM96" s="114"/>
      <c r="FN96" s="32">
        <f>(FN31+FN71+FN74)/3</f>
        <v>11485.773520203293</v>
      </c>
      <c r="FO96" s="75"/>
      <c r="FP96" s="75"/>
      <c r="FQ96" s="32">
        <f>0</f>
        <v>0</v>
      </c>
      <c r="FR96" s="75"/>
      <c r="FS96" s="75"/>
      <c r="FT96" s="32">
        <f>0</f>
        <v>0</v>
      </c>
      <c r="FU96" s="114"/>
      <c r="FV96" s="116"/>
      <c r="FW96" s="32">
        <f t="shared" si="11"/>
        <v>11485.773520203293</v>
      </c>
      <c r="FX96" s="116"/>
      <c r="FY96" s="23"/>
      <c r="FZ96" s="32">
        <f t="shared" si="9"/>
        <v>13899.783791137292</v>
      </c>
      <c r="GA96" s="32">
        <f>DI107+DU96+EM96+EP96+ES96+EV96+FB96+FE96+FH96+FN96+FQ96+FT96</f>
        <v>137203.47894551576</v>
      </c>
      <c r="GB96" s="32">
        <f t="shared" si="12"/>
        <v>151103.26273665304</v>
      </c>
      <c r="GC96" s="23"/>
    </row>
    <row r="97" spans="1:185" s="83" customFormat="1" x14ac:dyDescent="0.3">
      <c r="A97" s="4"/>
      <c r="B97" s="75"/>
      <c r="C97" s="94"/>
      <c r="D97" s="75" t="s">
        <v>137</v>
      </c>
      <c r="E97" s="75">
        <v>1</v>
      </c>
      <c r="F97" s="75"/>
      <c r="G97" s="75"/>
      <c r="H97" s="75"/>
      <c r="I97" s="75"/>
      <c r="J97" s="75"/>
      <c r="K97" s="75"/>
      <c r="L97" s="75"/>
      <c r="M97" s="75"/>
      <c r="N97" s="75"/>
      <c r="O97" s="75"/>
      <c r="P97" s="75"/>
      <c r="Q97" s="32">
        <f>(Q24+Q62)/2</f>
        <v>7077.9974475981617</v>
      </c>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32">
        <f>(CH24+CH31)/2</f>
        <v>5893.0401089016777</v>
      </c>
      <c r="CI97" s="75"/>
      <c r="CJ97" s="75"/>
      <c r="CK97" s="32">
        <f>(CK24+CK31)/2</f>
        <v>888.44794662756465</v>
      </c>
      <c r="CL97" s="75"/>
      <c r="CM97" s="75"/>
      <c r="CN97" s="32">
        <f>(CN54+CN55)/2</f>
        <v>186.88880829015545</v>
      </c>
      <c r="CO97" s="75"/>
      <c r="CP97" s="114"/>
      <c r="CQ97" s="32">
        <f t="shared" si="7"/>
        <v>1075.3367549177201</v>
      </c>
      <c r="CR97" s="114"/>
      <c r="CS97" s="114"/>
      <c r="CT97" s="75"/>
      <c r="CU97" s="75"/>
      <c r="CV97" s="75"/>
      <c r="CW97" s="75"/>
      <c r="CX97" s="75"/>
      <c r="CY97" s="75"/>
      <c r="CZ97" s="75"/>
      <c r="DA97" s="75"/>
      <c r="DB97" s="75"/>
      <c r="DC97" s="75"/>
      <c r="DD97" s="75"/>
      <c r="DE97" s="75"/>
      <c r="DF97" s="75"/>
      <c r="DG97" s="75"/>
      <c r="DH97" s="75"/>
      <c r="DI97" s="32">
        <f>DI74*Prop_req_accom</f>
        <v>3909.0068589881589</v>
      </c>
      <c r="DJ97" s="75"/>
      <c r="DK97" s="75"/>
      <c r="DL97" s="75"/>
      <c r="DM97" s="75"/>
      <c r="DN97" s="75"/>
      <c r="DO97" s="75"/>
      <c r="DP97" s="75"/>
      <c r="DQ97" s="75"/>
      <c r="DR97" s="75"/>
      <c r="DS97" s="75"/>
      <c r="DT97" s="75"/>
      <c r="DU97" s="32">
        <f>(DU31+DU71+DU73)/3</f>
        <v>35513.806878018702</v>
      </c>
      <c r="DV97" s="75"/>
      <c r="DW97" s="75"/>
      <c r="DX97" s="75"/>
      <c r="DY97" s="75"/>
      <c r="DZ97" s="75"/>
      <c r="EA97" s="75"/>
      <c r="EB97" s="75"/>
      <c r="EC97" s="75"/>
      <c r="ED97" s="75"/>
      <c r="EE97" s="75"/>
      <c r="EF97" s="75"/>
      <c r="EG97" s="75"/>
      <c r="EH97" s="75"/>
      <c r="EI97" s="75"/>
      <c r="EJ97" s="75"/>
      <c r="EK97" s="75"/>
      <c r="EL97" s="75"/>
      <c r="EM97" s="32">
        <f>(EM71+EM73)/2</f>
        <v>12405.337905271033</v>
      </c>
      <c r="EN97" s="75"/>
      <c r="EO97" s="75"/>
      <c r="EP97" s="32">
        <f>(EP9+EP31+EP71)/3</f>
        <v>6722.8317865961208</v>
      </c>
      <c r="EQ97" s="75"/>
      <c r="ER97" s="75"/>
      <c r="ES97" s="32">
        <f>ES6</f>
        <v>6215.0468314424197</v>
      </c>
      <c r="ET97" s="75"/>
      <c r="EU97" s="75"/>
      <c r="EV97" s="32">
        <f>0</f>
        <v>0</v>
      </c>
      <c r="EW97" s="75"/>
      <c r="EX97" s="114"/>
      <c r="EY97" s="32">
        <f t="shared" si="10"/>
        <v>12937.87861803854</v>
      </c>
      <c r="EZ97" s="114"/>
      <c r="FA97" s="114"/>
      <c r="FB97" s="32">
        <f>(FB9+FB31)/2</f>
        <v>52985.152575163389</v>
      </c>
      <c r="FC97" s="75"/>
      <c r="FD97" s="75"/>
      <c r="FE97" s="32">
        <f>FE6</f>
        <v>170.48960126114636</v>
      </c>
      <c r="FF97" s="75"/>
      <c r="FG97" s="75"/>
      <c r="FH97" s="32">
        <f>FH9</f>
        <v>16591.055276381911</v>
      </c>
      <c r="FI97" s="75"/>
      <c r="FJ97" s="114"/>
      <c r="FK97" s="32">
        <f t="shared" si="8"/>
        <v>69746.697452806446</v>
      </c>
      <c r="FL97" s="114"/>
      <c r="FM97" s="114"/>
      <c r="FN97" s="32">
        <f>(FN31+FN71+FN74)/3</f>
        <v>11485.773520203293</v>
      </c>
      <c r="FO97" s="75"/>
      <c r="FP97" s="75"/>
      <c r="FQ97" s="32">
        <f>0</f>
        <v>0</v>
      </c>
      <c r="FR97" s="75"/>
      <c r="FS97" s="75"/>
      <c r="FT97" s="32">
        <f>0</f>
        <v>0</v>
      </c>
      <c r="FU97" s="114"/>
      <c r="FV97" s="116"/>
      <c r="FW97" s="32">
        <f t="shared" si="11"/>
        <v>11485.773520203293</v>
      </c>
      <c r="FX97" s="116"/>
      <c r="FY97" s="23"/>
      <c r="FZ97" s="32">
        <f t="shared" si="9"/>
        <v>14046.37431141756</v>
      </c>
      <c r="GA97" s="32">
        <f>DI108+DU97+EM97+EP97+ES97+EV97+FB97+FE97+FH97+FN97+FQ97+FT97</f>
        <v>146038.12253638223</v>
      </c>
      <c r="GB97" s="32">
        <f t="shared" si="12"/>
        <v>160084.4968477998</v>
      </c>
      <c r="GC97" s="23"/>
    </row>
    <row r="98" spans="1:185" s="83" customFormat="1" x14ac:dyDescent="0.3">
      <c r="A98" s="4"/>
      <c r="B98" s="75"/>
      <c r="C98" s="94"/>
      <c r="D98" s="75" t="s">
        <v>138</v>
      </c>
      <c r="E98" s="75">
        <v>1</v>
      </c>
      <c r="F98" s="75"/>
      <c r="G98" s="75"/>
      <c r="H98" s="75"/>
      <c r="I98" s="75"/>
      <c r="J98" s="75"/>
      <c r="K98" s="75"/>
      <c r="L98" s="75"/>
      <c r="M98" s="75"/>
      <c r="N98" s="75"/>
      <c r="O98" s="75"/>
      <c r="P98" s="75"/>
      <c r="Q98" s="32">
        <f>(Q64+Q24)/2</f>
        <v>5795.5261216313102</v>
      </c>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32">
        <f>(CH24+CH32)/2</f>
        <v>544.412549659972</v>
      </c>
      <c r="CI98" s="75"/>
      <c r="CJ98" s="75"/>
      <c r="CK98" s="32">
        <f>(CK24+CK32)/2</f>
        <v>885.98939158918529</v>
      </c>
      <c r="CL98" s="75"/>
      <c r="CM98" s="75"/>
      <c r="CN98" s="32">
        <f>(CN47+CN48)/2</f>
        <v>40.298288009888758</v>
      </c>
      <c r="CO98" s="75"/>
      <c r="CP98" s="114"/>
      <c r="CQ98" s="32">
        <f t="shared" si="7"/>
        <v>926.28767959907407</v>
      </c>
      <c r="CR98" s="114"/>
      <c r="CS98" s="114"/>
      <c r="CT98" s="75"/>
      <c r="CU98" s="75"/>
      <c r="CV98" s="75"/>
      <c r="CW98" s="75"/>
      <c r="CX98" s="75"/>
      <c r="CY98" s="75"/>
      <c r="CZ98" s="75"/>
      <c r="DA98" s="75"/>
      <c r="DB98" s="75"/>
      <c r="DC98" s="75"/>
      <c r="DD98" s="75"/>
      <c r="DE98" s="75"/>
      <c r="DF98" s="75"/>
      <c r="DG98" s="75"/>
      <c r="DH98" s="75"/>
      <c r="DI98" s="32">
        <f>DI74*Prop_req_accom</f>
        <v>3909.0068589881589</v>
      </c>
      <c r="DJ98" s="75"/>
      <c r="DK98" s="75"/>
      <c r="DL98" s="75"/>
      <c r="DM98" s="75"/>
      <c r="DN98" s="75"/>
      <c r="DO98" s="75"/>
      <c r="DP98" s="75"/>
      <c r="DQ98" s="75"/>
      <c r="DR98" s="75"/>
      <c r="DS98" s="75"/>
      <c r="DT98" s="75"/>
      <c r="DU98" s="32">
        <f>(DU32+DU72+DU74+DU28)/4</f>
        <v>43261.681009128719</v>
      </c>
      <c r="DV98" s="75"/>
      <c r="DW98" s="75"/>
      <c r="DX98" s="75"/>
      <c r="DY98" s="75"/>
      <c r="DZ98" s="75"/>
      <c r="EA98" s="75"/>
      <c r="EB98" s="75"/>
      <c r="EC98" s="75"/>
      <c r="ED98" s="75"/>
      <c r="EE98" s="75"/>
      <c r="EF98" s="75"/>
      <c r="EG98" s="75"/>
      <c r="EH98" s="75"/>
      <c r="EI98" s="75"/>
      <c r="EJ98" s="75"/>
      <c r="EK98" s="75"/>
      <c r="EL98" s="75"/>
      <c r="EM98" s="32">
        <f>(EM28+EM72+EM74)/3</f>
        <v>6934.6827855580013</v>
      </c>
      <c r="EN98" s="75"/>
      <c r="EO98" s="75"/>
      <c r="EP98" s="32">
        <f>(EP7+EP32+EP72)/3</f>
        <v>6280.3305067248266</v>
      </c>
      <c r="EQ98" s="75"/>
      <c r="ER98" s="75"/>
      <c r="ES98" s="32">
        <f>ES6</f>
        <v>6215.0468314424197</v>
      </c>
      <c r="ET98" s="75"/>
      <c r="EU98" s="75"/>
      <c r="EV98" s="32">
        <f>0</f>
        <v>0</v>
      </c>
      <c r="EW98" s="75"/>
      <c r="EX98" s="114"/>
      <c r="EY98" s="32">
        <f t="shared" si="10"/>
        <v>12495.377338167247</v>
      </c>
      <c r="EZ98" s="114"/>
      <c r="FA98" s="114"/>
      <c r="FB98" s="32">
        <f>(FB7+FB32)/2</f>
        <v>31764.48514270152</v>
      </c>
      <c r="FC98" s="75"/>
      <c r="FD98" s="75"/>
      <c r="FE98" s="32">
        <f>FE6</f>
        <v>170.48960126114636</v>
      </c>
      <c r="FF98" s="75"/>
      <c r="FG98" s="75"/>
      <c r="FH98" s="32">
        <f>FH7</f>
        <v>14199.535175879397</v>
      </c>
      <c r="FI98" s="75"/>
      <c r="FJ98" s="114"/>
      <c r="FK98" s="32">
        <f t="shared" si="8"/>
        <v>46134.509919842065</v>
      </c>
      <c r="FL98" s="114"/>
      <c r="FM98" s="114"/>
      <c r="FN98" s="32">
        <f>(FN32+FN72+FN74)/3</f>
        <v>11460.796186869959</v>
      </c>
      <c r="FO98" s="75"/>
      <c r="FP98" s="75"/>
      <c r="FQ98" s="32">
        <f>0</f>
        <v>0</v>
      </c>
      <c r="FR98" s="75"/>
      <c r="FS98" s="75"/>
      <c r="FT98" s="32">
        <f>FT28</f>
        <v>24.289252525252525</v>
      </c>
      <c r="FU98" s="114"/>
      <c r="FV98" s="116"/>
      <c r="FW98" s="32">
        <f t="shared" si="11"/>
        <v>11485.08543939521</v>
      </c>
      <c r="FX98" s="116"/>
      <c r="FY98" s="23"/>
      <c r="FZ98" s="32">
        <f t="shared" si="9"/>
        <v>7266.2263508903561</v>
      </c>
      <c r="GA98" s="32">
        <f>DI98+DU98+EM98+EP98+ES98+EV98+FB98+FE98+FH98+FN98+FQ98+FT98</f>
        <v>124220.34335107941</v>
      </c>
      <c r="GB98" s="32">
        <f t="shared" si="12"/>
        <v>131486.56970196977</v>
      </c>
      <c r="GC98" s="23"/>
    </row>
    <row r="99" spans="1:185" s="83" customFormat="1" x14ac:dyDescent="0.3">
      <c r="A99" s="4"/>
      <c r="B99" s="75"/>
      <c r="C99" s="94"/>
      <c r="D99" s="75" t="s">
        <v>139</v>
      </c>
      <c r="E99" s="75">
        <v>1</v>
      </c>
      <c r="F99" s="75"/>
      <c r="G99" s="75"/>
      <c r="H99" s="75"/>
      <c r="I99" s="75"/>
      <c r="J99" s="75"/>
      <c r="K99" s="75"/>
      <c r="L99" s="75"/>
      <c r="M99" s="75"/>
      <c r="N99" s="75"/>
      <c r="O99" s="75"/>
      <c r="P99" s="75"/>
      <c r="Q99" s="32">
        <f>(Q64+Q24)/2</f>
        <v>5795.5261216313102</v>
      </c>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32">
        <f>(CH24+CH32)/2</f>
        <v>544.412549659972</v>
      </c>
      <c r="CI99" s="75"/>
      <c r="CJ99" s="75"/>
      <c r="CK99" s="32">
        <f>(CK24+CK32)/2</f>
        <v>885.98939158918529</v>
      </c>
      <c r="CL99" s="75"/>
      <c r="CM99" s="75"/>
      <c r="CN99" s="32">
        <f>(CN47+CN48)/2</f>
        <v>40.298288009888758</v>
      </c>
      <c r="CO99" s="75"/>
      <c r="CP99" s="114"/>
      <c r="CQ99" s="32">
        <f t="shared" si="7"/>
        <v>926.28767959907407</v>
      </c>
      <c r="CR99" s="114"/>
      <c r="CS99" s="114"/>
      <c r="CT99" s="75"/>
      <c r="CU99" s="75"/>
      <c r="CV99" s="75"/>
      <c r="CW99" s="75"/>
      <c r="CX99" s="75"/>
      <c r="CY99" s="75"/>
      <c r="CZ99" s="75"/>
      <c r="DA99" s="75"/>
      <c r="DB99" s="75"/>
      <c r="DC99" s="75"/>
      <c r="DD99" s="75"/>
      <c r="DE99" s="75"/>
      <c r="DF99" s="75"/>
      <c r="DG99" s="75"/>
      <c r="DH99" s="75"/>
      <c r="DI99" s="32">
        <f>DI74*Prop_req_accom</f>
        <v>3909.0068589881589</v>
      </c>
      <c r="DJ99" s="75"/>
      <c r="DK99" s="75"/>
      <c r="DL99" s="75"/>
      <c r="DM99" s="75"/>
      <c r="DN99" s="75"/>
      <c r="DO99" s="75"/>
      <c r="DP99" s="75"/>
      <c r="DQ99" s="75"/>
      <c r="DR99" s="75"/>
      <c r="DS99" s="75"/>
      <c r="DT99" s="75"/>
      <c r="DU99" s="32">
        <f>(DU28+DU32+DU72+DU74)/4</f>
        <v>43261.681009128719</v>
      </c>
      <c r="DV99" s="75"/>
      <c r="DW99" s="75"/>
      <c r="DX99" s="75"/>
      <c r="DY99" s="75"/>
      <c r="DZ99" s="75"/>
      <c r="EA99" s="75"/>
      <c r="EB99" s="75"/>
      <c r="EC99" s="75"/>
      <c r="ED99" s="75"/>
      <c r="EE99" s="75"/>
      <c r="EF99" s="75"/>
      <c r="EG99" s="75"/>
      <c r="EH99" s="75"/>
      <c r="EI99" s="75"/>
      <c r="EJ99" s="75"/>
      <c r="EK99" s="75"/>
      <c r="EL99" s="75"/>
      <c r="EM99" s="32">
        <f>(EM28+EM72+EM74)/3</f>
        <v>6934.6827855580013</v>
      </c>
      <c r="EN99" s="75"/>
      <c r="EO99" s="75"/>
      <c r="EP99" s="32">
        <f>(EP8+EP32+EP72)/3</f>
        <v>5884.5883323996268</v>
      </c>
      <c r="EQ99" s="75"/>
      <c r="ER99" s="75"/>
      <c r="ES99" s="32">
        <f>ES6</f>
        <v>6215.0468314424197</v>
      </c>
      <c r="ET99" s="75"/>
      <c r="EU99" s="75"/>
      <c r="EV99" s="32">
        <f>0</f>
        <v>0</v>
      </c>
      <c r="EW99" s="75"/>
      <c r="EX99" s="114"/>
      <c r="EY99" s="32">
        <f t="shared" si="10"/>
        <v>12099.635163842046</v>
      </c>
      <c r="EZ99" s="114"/>
      <c r="FA99" s="114"/>
      <c r="FB99" s="32">
        <f>(FB8+FB32)/2</f>
        <v>37708.776863834413</v>
      </c>
      <c r="FC99" s="75"/>
      <c r="FD99" s="75"/>
      <c r="FE99" s="32">
        <f>FE6</f>
        <v>170.48960126114636</v>
      </c>
      <c r="FF99" s="75"/>
      <c r="FG99" s="75"/>
      <c r="FH99" s="32">
        <f>FH8</f>
        <v>23145.11306532663</v>
      </c>
      <c r="FI99" s="75"/>
      <c r="FJ99" s="114"/>
      <c r="FK99" s="32">
        <f t="shared" si="8"/>
        <v>61024.379530422193</v>
      </c>
      <c r="FL99" s="114"/>
      <c r="FM99" s="114"/>
      <c r="FN99" s="32">
        <f>(FN32+FN72+FN74)/3</f>
        <v>11460.796186869959</v>
      </c>
      <c r="FO99" s="75"/>
      <c r="FP99" s="75"/>
      <c r="FQ99" s="32">
        <f>0</f>
        <v>0</v>
      </c>
      <c r="FR99" s="75"/>
      <c r="FS99" s="75"/>
      <c r="FT99" s="32">
        <f>FT28</f>
        <v>24.289252525252525</v>
      </c>
      <c r="FU99" s="114"/>
      <c r="FV99" s="116"/>
      <c r="FW99" s="32">
        <f t="shared" si="11"/>
        <v>11485.08543939521</v>
      </c>
      <c r="FX99" s="116"/>
      <c r="FY99" s="23"/>
      <c r="FZ99" s="32">
        <f t="shared" si="9"/>
        <v>7266.2263508903561</v>
      </c>
      <c r="GA99" s="32">
        <f>DI99+DU99+EM99+EP99+ES99+EV99+FB99+FE99+FH99+FN99+FQ99+FT99</f>
        <v>138714.47078733431</v>
      </c>
      <c r="GB99" s="32">
        <f t="shared" si="12"/>
        <v>145980.69713822467</v>
      </c>
      <c r="GC99" s="23"/>
    </row>
    <row r="100" spans="1:185" s="83" customFormat="1" x14ac:dyDescent="0.3">
      <c r="A100" s="4"/>
      <c r="B100" s="75"/>
      <c r="C100" s="94"/>
      <c r="D100" s="75" t="s">
        <v>140</v>
      </c>
      <c r="E100" s="75">
        <v>1</v>
      </c>
      <c r="F100" s="75"/>
      <c r="G100" s="75"/>
      <c r="H100" s="75"/>
      <c r="I100" s="75"/>
      <c r="J100" s="75"/>
      <c r="K100" s="75"/>
      <c r="L100" s="75"/>
      <c r="M100" s="75"/>
      <c r="N100" s="75"/>
      <c r="O100" s="75"/>
      <c r="P100" s="75"/>
      <c r="Q100" s="32">
        <f>(Q24+Q64)/2</f>
        <v>5795.5261216313102</v>
      </c>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32">
        <f>CH28</f>
        <v>17904.417678114478</v>
      </c>
      <c r="CI100" s="75"/>
      <c r="CJ100" s="75"/>
      <c r="CK100" s="32">
        <f>(CK24+CK32)/2</f>
        <v>885.98939158918529</v>
      </c>
      <c r="CL100" s="75"/>
      <c r="CM100" s="75"/>
      <c r="CN100" s="32">
        <f>(CN54+CN55)/2</f>
        <v>186.88880829015545</v>
      </c>
      <c r="CO100" s="75"/>
      <c r="CP100" s="114"/>
      <c r="CQ100" s="32">
        <f t="shared" si="7"/>
        <v>1072.8781998793406</v>
      </c>
      <c r="CR100" s="114"/>
      <c r="CS100" s="114"/>
      <c r="CT100" s="75"/>
      <c r="CU100" s="75"/>
      <c r="CV100" s="75"/>
      <c r="CW100" s="75"/>
      <c r="CX100" s="75"/>
      <c r="CY100" s="75"/>
      <c r="CZ100" s="75"/>
      <c r="DA100" s="75"/>
      <c r="DB100" s="75"/>
      <c r="DC100" s="75"/>
      <c r="DD100" s="75"/>
      <c r="DE100" s="75"/>
      <c r="DF100" s="75"/>
      <c r="DG100" s="75"/>
      <c r="DH100" s="75"/>
      <c r="DI100" s="32">
        <f>DI74*Prop_req_accom</f>
        <v>3909.0068589881589</v>
      </c>
      <c r="DJ100" s="75"/>
      <c r="DK100" s="75"/>
      <c r="DL100" s="75"/>
      <c r="DM100" s="75"/>
      <c r="DN100" s="75"/>
      <c r="DO100" s="75"/>
      <c r="DP100" s="75"/>
      <c r="DQ100" s="75"/>
      <c r="DR100" s="75"/>
      <c r="DS100" s="75"/>
      <c r="DT100" s="75"/>
      <c r="DU100" s="32">
        <f>(DU28+DU32+DU72+DU74)/4</f>
        <v>43261.681009128719</v>
      </c>
      <c r="DV100" s="75"/>
      <c r="DW100" s="75"/>
      <c r="DX100" s="75"/>
      <c r="DY100" s="75"/>
      <c r="DZ100" s="75"/>
      <c r="EA100" s="75"/>
      <c r="EB100" s="75"/>
      <c r="EC100" s="75"/>
      <c r="ED100" s="75"/>
      <c r="EE100" s="75"/>
      <c r="EF100" s="75"/>
      <c r="EG100" s="75"/>
      <c r="EH100" s="75"/>
      <c r="EI100" s="75"/>
      <c r="EJ100" s="75"/>
      <c r="EK100" s="75"/>
      <c r="EL100" s="75"/>
      <c r="EM100" s="32">
        <f>(EM28+EM72+EM74)/3</f>
        <v>6934.6827855580013</v>
      </c>
      <c r="EN100" s="75"/>
      <c r="EO100" s="75"/>
      <c r="EP100" s="32">
        <f>(EP9+EP32+EP72)/3</f>
        <v>6626.1725008818348</v>
      </c>
      <c r="EQ100" s="75"/>
      <c r="ER100" s="75"/>
      <c r="ES100" s="32">
        <f>ES6</f>
        <v>6215.0468314424197</v>
      </c>
      <c r="ET100" s="75"/>
      <c r="EU100" s="75"/>
      <c r="EV100" s="32">
        <f>0</f>
        <v>0</v>
      </c>
      <c r="EW100" s="75"/>
      <c r="EX100" s="114"/>
      <c r="EY100" s="32">
        <f t="shared" si="10"/>
        <v>12841.219332324254</v>
      </c>
      <c r="EZ100" s="114"/>
      <c r="FA100" s="114"/>
      <c r="FB100" s="32">
        <f>(FB9+FB32)/2</f>
        <v>52355.894075163393</v>
      </c>
      <c r="FC100" s="75"/>
      <c r="FD100" s="75"/>
      <c r="FE100" s="32">
        <f>FE6</f>
        <v>170.48960126114636</v>
      </c>
      <c r="FF100" s="75"/>
      <c r="FG100" s="75"/>
      <c r="FH100" s="32">
        <f>FH9</f>
        <v>16591.055276381911</v>
      </c>
      <c r="FI100" s="75"/>
      <c r="FJ100" s="114"/>
      <c r="FK100" s="32">
        <f t="shared" si="8"/>
        <v>69117.438952806449</v>
      </c>
      <c r="FL100" s="114"/>
      <c r="FM100" s="114"/>
      <c r="FN100" s="32">
        <f>(FN32+FN72+FN74)/3</f>
        <v>11460.796186869959</v>
      </c>
      <c r="FO100" s="75"/>
      <c r="FP100" s="75"/>
      <c r="FQ100" s="32">
        <f>0</f>
        <v>0</v>
      </c>
      <c r="FR100" s="75"/>
      <c r="FS100" s="75"/>
      <c r="FT100" s="32">
        <f>FT28</f>
        <v>24.289252525252525</v>
      </c>
      <c r="FU100" s="114"/>
      <c r="FV100" s="116"/>
      <c r="FW100" s="32">
        <f t="shared" si="11"/>
        <v>11485.08543939521</v>
      </c>
      <c r="FX100" s="116"/>
      <c r="FY100" s="23"/>
      <c r="FZ100" s="32">
        <f t="shared" si="9"/>
        <v>24772.821999625125</v>
      </c>
      <c r="GA100" s="32">
        <f>DI100+DU100+EM100+EP100+ES100+EV100+FB100+FE100+FH100+FN100+FQ100+FT100</f>
        <v>147549.11437820079</v>
      </c>
      <c r="GB100" s="32">
        <f t="shared" si="12"/>
        <v>172321.93637782591</v>
      </c>
      <c r="GC100" s="23"/>
    </row>
    <row r="101" spans="1:185" s="83" customFormat="1" x14ac:dyDescent="0.3">
      <c r="A101" s="4"/>
      <c r="B101" s="23"/>
      <c r="C101" s="23"/>
      <c r="D101" s="23"/>
      <c r="E101" s="23"/>
      <c r="F101" s="23"/>
      <c r="G101" s="23"/>
      <c r="H101" s="23"/>
      <c r="I101" s="23"/>
      <c r="J101" s="23"/>
      <c r="K101" s="23"/>
      <c r="L101" s="23"/>
      <c r="M101" s="23"/>
      <c r="N101" s="23"/>
      <c r="O101" s="23"/>
      <c r="P101" s="23"/>
      <c r="Q101" s="31"/>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31"/>
      <c r="CI101" s="23"/>
      <c r="CJ101" s="23"/>
      <c r="CK101" s="31"/>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31"/>
      <c r="DJ101" s="23"/>
      <c r="DK101" s="23"/>
      <c r="DL101" s="23"/>
      <c r="DM101" s="23"/>
      <c r="DN101" s="23"/>
      <c r="DO101" s="23"/>
      <c r="DP101" s="23"/>
      <c r="DQ101" s="23"/>
      <c r="DR101" s="23"/>
      <c r="DS101" s="23"/>
      <c r="DT101" s="23"/>
      <c r="DU101" s="31"/>
      <c r="DV101" s="23"/>
      <c r="DW101" s="23"/>
      <c r="DX101" s="23"/>
      <c r="DY101" s="23"/>
      <c r="DZ101" s="23"/>
      <c r="EA101" s="23"/>
      <c r="EB101" s="23"/>
      <c r="EC101" s="23"/>
      <c r="ED101" s="23"/>
      <c r="EE101" s="23"/>
      <c r="EF101" s="23"/>
      <c r="EG101" s="23"/>
      <c r="EH101" s="23"/>
      <c r="EI101" s="23"/>
      <c r="EJ101" s="23"/>
      <c r="EK101" s="23"/>
      <c r="EL101" s="23"/>
      <c r="EM101" s="31"/>
      <c r="EN101" s="23"/>
      <c r="EO101" s="23"/>
      <c r="EP101" s="31"/>
      <c r="EQ101" s="23"/>
      <c r="ER101" s="23"/>
      <c r="ES101" s="31"/>
      <c r="ET101" s="23"/>
      <c r="EU101" s="23"/>
      <c r="EV101" s="31"/>
      <c r="EW101" s="23"/>
      <c r="EX101" s="23"/>
      <c r="EY101" s="23"/>
      <c r="EZ101" s="23"/>
      <c r="FA101" s="23"/>
      <c r="FB101" s="31"/>
      <c r="FC101" s="23"/>
      <c r="FD101" s="23"/>
      <c r="FE101" s="31"/>
      <c r="FF101" s="23"/>
      <c r="FG101" s="23"/>
      <c r="FH101" s="31"/>
      <c r="FI101" s="23"/>
      <c r="FJ101" s="23"/>
      <c r="FK101" s="23"/>
      <c r="FL101" s="23"/>
      <c r="FM101" s="23"/>
      <c r="FN101" s="31"/>
      <c r="FO101" s="23"/>
      <c r="FP101" s="23"/>
      <c r="FQ101" s="31"/>
      <c r="FR101" s="23"/>
      <c r="FS101" s="23"/>
      <c r="FT101" s="31"/>
      <c r="FU101" s="31"/>
      <c r="FV101" s="31"/>
      <c r="FW101" s="31"/>
      <c r="FX101" s="31"/>
      <c r="FY101" s="23"/>
      <c r="FZ101" s="3"/>
      <c r="GA101" s="16" t="s">
        <v>191</v>
      </c>
      <c r="GB101" s="3"/>
      <c r="GC101" s="3"/>
    </row>
    <row r="102" spans="1:185" s="83" customFormat="1" x14ac:dyDescent="0.3">
      <c r="A102" s="4"/>
      <c r="B102" s="27"/>
      <c r="C102" s="27"/>
      <c r="D102" s="27"/>
      <c r="E102" s="48"/>
      <c r="F102" s="27"/>
      <c r="G102" s="27"/>
      <c r="H102" s="27"/>
      <c r="I102" s="27"/>
      <c r="J102" s="27"/>
      <c r="K102" s="27"/>
      <c r="L102" s="27"/>
      <c r="M102" s="27"/>
      <c r="N102" s="27"/>
      <c r="O102" s="27"/>
      <c r="P102" s="27"/>
      <c r="Q102" s="25"/>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5"/>
      <c r="CI102" s="27"/>
      <c r="CJ102" s="27"/>
      <c r="CK102" s="25"/>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5"/>
      <c r="DJ102" s="27"/>
      <c r="DK102" s="27"/>
      <c r="DL102" s="27"/>
      <c r="DM102" s="27"/>
      <c r="DN102" s="27"/>
      <c r="DO102" s="27"/>
      <c r="DP102" s="27"/>
      <c r="DQ102" s="27"/>
      <c r="DR102" s="27"/>
      <c r="DS102" s="27"/>
      <c r="DT102" s="27"/>
      <c r="DU102" s="25"/>
      <c r="DV102" s="27"/>
      <c r="DW102" s="27"/>
      <c r="DX102" s="27"/>
      <c r="DY102" s="27"/>
      <c r="DZ102" s="27"/>
      <c r="EA102" s="27"/>
      <c r="EB102" s="27"/>
      <c r="EC102" s="27"/>
      <c r="ED102" s="27"/>
      <c r="EE102" s="27"/>
      <c r="EF102" s="27"/>
      <c r="EG102" s="27"/>
      <c r="EH102" s="27"/>
      <c r="EI102" s="27"/>
      <c r="EJ102" s="27"/>
      <c r="EK102" s="27"/>
      <c r="EL102" s="27"/>
      <c r="EM102" s="25"/>
      <c r="EN102" s="27"/>
      <c r="EO102" s="27"/>
      <c r="EP102" s="25"/>
      <c r="EQ102" s="27"/>
      <c r="ER102" s="27"/>
      <c r="ES102" s="25"/>
      <c r="ET102" s="27"/>
      <c r="EU102" s="27"/>
      <c r="EV102" s="25"/>
      <c r="EW102" s="27"/>
      <c r="EX102" s="27"/>
      <c r="EY102" s="27"/>
      <c r="EZ102" s="27"/>
      <c r="FA102" s="27"/>
      <c r="FB102" s="25"/>
      <c r="FC102" s="27"/>
      <c r="FD102" s="27"/>
      <c r="FE102" s="25"/>
      <c r="FF102" s="27"/>
      <c r="FG102" s="27"/>
      <c r="FH102" s="25"/>
      <c r="FI102" s="27"/>
      <c r="FJ102" s="27"/>
      <c r="FK102" s="27"/>
      <c r="FL102" s="27"/>
      <c r="FM102" s="27"/>
      <c r="FN102" s="25"/>
      <c r="FO102" s="27"/>
      <c r="FP102" s="27"/>
      <c r="FQ102" s="25"/>
      <c r="FR102" s="27"/>
      <c r="FS102" s="27"/>
      <c r="FT102" s="25"/>
      <c r="FU102" s="25"/>
      <c r="FV102" s="25"/>
      <c r="FW102" s="25"/>
      <c r="FX102" s="25"/>
      <c r="FY102" s="23"/>
      <c r="FZ102" s="47" t="s">
        <v>145</v>
      </c>
      <c r="GA102" s="47" t="s">
        <v>146</v>
      </c>
      <c r="GB102" s="47" t="s">
        <v>147</v>
      </c>
      <c r="GC102" s="47"/>
    </row>
    <row r="103" spans="1:185" s="83" customFormat="1" x14ac:dyDescent="0.3">
      <c r="A103" s="4"/>
      <c r="B103" s="75"/>
      <c r="C103" s="94"/>
      <c r="D103" s="75" t="s">
        <v>132</v>
      </c>
      <c r="E103" s="75">
        <v>1</v>
      </c>
      <c r="F103" s="75"/>
      <c r="G103" s="75"/>
      <c r="H103" s="75"/>
      <c r="I103" s="75"/>
      <c r="J103" s="75"/>
      <c r="K103" s="75"/>
      <c r="L103" s="75"/>
      <c r="M103" s="75"/>
      <c r="N103" s="75"/>
      <c r="O103" s="75"/>
      <c r="P103" s="75"/>
      <c r="Q103" s="32">
        <f>Q63</f>
        <v>17638.635027624307</v>
      </c>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32">
        <f>CH30</f>
        <v>961.569490521327</v>
      </c>
      <c r="CI103" s="75"/>
      <c r="CJ103" s="75"/>
      <c r="CK103" s="32">
        <f>CK30</f>
        <v>0</v>
      </c>
      <c r="CL103" s="75"/>
      <c r="CM103" s="75"/>
      <c r="CN103" s="32">
        <f>CN47</f>
        <v>54.874264524103836</v>
      </c>
      <c r="CO103" s="75"/>
      <c r="CP103" s="114"/>
      <c r="CQ103" s="32">
        <f t="shared" ref="CQ103:CQ111" si="13">CK103+CN103</f>
        <v>54.874264524103836</v>
      </c>
      <c r="CR103" s="114"/>
      <c r="CS103" s="114"/>
      <c r="CT103" s="75"/>
      <c r="CU103" s="75"/>
      <c r="CV103" s="75"/>
      <c r="CW103" s="75"/>
      <c r="CX103" s="75"/>
      <c r="CY103" s="75"/>
      <c r="CZ103" s="75"/>
      <c r="DA103" s="75"/>
      <c r="DB103" s="75"/>
      <c r="DC103" s="75"/>
      <c r="DD103" s="75"/>
      <c r="DE103" s="75"/>
      <c r="DF103" s="75"/>
      <c r="DG103" s="75"/>
      <c r="DH103" s="75"/>
      <c r="DI103" s="32">
        <f>(DI30+DI73)/2</f>
        <v>1535.8341455675215</v>
      </c>
      <c r="DJ103" s="75"/>
      <c r="DK103" s="75"/>
      <c r="DL103" s="75"/>
      <c r="DM103" s="75"/>
      <c r="DN103" s="75"/>
      <c r="DO103" s="75"/>
      <c r="DP103" s="75"/>
      <c r="DQ103" s="75"/>
      <c r="DR103" s="75"/>
      <c r="DS103" s="75"/>
      <c r="DT103" s="75"/>
      <c r="DU103" s="32">
        <f>DU70</f>
        <v>3781.6277730192719</v>
      </c>
      <c r="DV103" s="75"/>
      <c r="DW103" s="75"/>
      <c r="DX103" s="75"/>
      <c r="DY103" s="75"/>
      <c r="DZ103" s="75"/>
      <c r="EA103" s="75"/>
      <c r="EB103" s="75"/>
      <c r="EC103" s="75"/>
      <c r="ED103" s="75"/>
      <c r="EE103" s="75"/>
      <c r="EF103" s="75"/>
      <c r="EG103" s="75"/>
      <c r="EH103" s="75"/>
      <c r="EI103" s="75"/>
      <c r="EJ103" s="75"/>
      <c r="EK103" s="75"/>
      <c r="EL103" s="75"/>
      <c r="EM103" s="32">
        <f>EM73</f>
        <v>13029.473627556512</v>
      </c>
      <c r="EN103" s="75"/>
      <c r="EO103" s="75"/>
      <c r="EP103" s="32">
        <f>EP30</f>
        <v>6175.0780000000004</v>
      </c>
      <c r="EQ103" s="75"/>
      <c r="ER103" s="75"/>
      <c r="ES103" s="32">
        <f>ES6</f>
        <v>6215.0468314424197</v>
      </c>
      <c r="ET103" s="75"/>
      <c r="EU103" s="75"/>
      <c r="EV103" s="32">
        <f>0</f>
        <v>0</v>
      </c>
      <c r="EW103" s="114"/>
      <c r="EX103" s="114"/>
      <c r="EY103" s="32">
        <f>EP92+ES92+EV92</f>
        <v>12224.032671500579</v>
      </c>
      <c r="EZ103" s="114"/>
      <c r="FA103" s="114"/>
      <c r="FB103" s="32">
        <f>0</f>
        <v>0</v>
      </c>
      <c r="FC103" s="75"/>
      <c r="FD103" s="75"/>
      <c r="FE103" s="32">
        <f>FE6</f>
        <v>170.48960126114636</v>
      </c>
      <c r="FF103" s="75"/>
      <c r="FG103" s="75"/>
      <c r="FH103" s="32">
        <f>FH7</f>
        <v>14199.535175879397</v>
      </c>
      <c r="FI103" s="75"/>
      <c r="FJ103" s="114"/>
      <c r="FK103" s="32">
        <f t="shared" ref="FK103:FK111" si="14">FB103+FE103+FH103</f>
        <v>14370.024777140543</v>
      </c>
      <c r="FL103" s="114"/>
      <c r="FM103" s="114"/>
      <c r="FN103" s="32">
        <f>FN73</f>
        <v>22995.026417752732</v>
      </c>
      <c r="FO103" s="75"/>
      <c r="FP103" s="75"/>
      <c r="FQ103" s="32">
        <f>0</f>
        <v>0</v>
      </c>
      <c r="FR103" s="75"/>
      <c r="FS103" s="75"/>
      <c r="FT103" s="32">
        <f>0</f>
        <v>0</v>
      </c>
      <c r="FU103" s="114"/>
      <c r="FV103" s="116"/>
      <c r="FW103" s="32">
        <f>FN103+FQ103+FT103</f>
        <v>22995.026417752732</v>
      </c>
      <c r="FX103" s="116"/>
      <c r="FY103" s="23"/>
      <c r="FZ103" s="32">
        <f t="shared" ref="FZ103:FZ111" si="15">Q103+CH103+CK103+CN103</f>
        <v>18655.078782669738</v>
      </c>
      <c r="GA103" s="32">
        <f t="shared" ref="GA103:GA111" si="16">DI103+DU103+EM103+EP103+ES103+EV103+FB103+FE103+FH103+FN103+FQ103+FT103</f>
        <v>68102.111572479</v>
      </c>
      <c r="GB103" s="32">
        <f>FZ103+GA103</f>
        <v>86757.190355148734</v>
      </c>
      <c r="GC103" s="23"/>
    </row>
    <row r="104" spans="1:185" s="83" customFormat="1" x14ac:dyDescent="0.3">
      <c r="A104" s="4"/>
      <c r="B104" s="75"/>
      <c r="C104" s="94"/>
      <c r="D104" s="75" t="s">
        <v>133</v>
      </c>
      <c r="E104" s="75">
        <v>1</v>
      </c>
      <c r="F104" s="75"/>
      <c r="G104" s="75"/>
      <c r="H104" s="75"/>
      <c r="I104" s="75"/>
      <c r="J104" s="75"/>
      <c r="K104" s="75"/>
      <c r="L104" s="75"/>
      <c r="M104" s="75"/>
      <c r="N104" s="75"/>
      <c r="O104" s="75"/>
      <c r="P104" s="75"/>
      <c r="Q104" s="32">
        <f>Q63</f>
        <v>17638.635027624307</v>
      </c>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32">
        <f>CH30</f>
        <v>961.569490521327</v>
      </c>
      <c r="CI104" s="75"/>
      <c r="CJ104" s="75"/>
      <c r="CK104" s="32">
        <f>CK30</f>
        <v>0</v>
      </c>
      <c r="CL104" s="75"/>
      <c r="CM104" s="75"/>
      <c r="CN104" s="32">
        <f>CN47</f>
        <v>54.874264524103836</v>
      </c>
      <c r="CO104" s="75"/>
      <c r="CP104" s="114"/>
      <c r="CQ104" s="32">
        <f t="shared" si="13"/>
        <v>54.874264524103836</v>
      </c>
      <c r="CR104" s="114"/>
      <c r="CS104" s="114"/>
      <c r="CT104" s="75"/>
      <c r="CU104" s="75"/>
      <c r="CV104" s="75"/>
      <c r="CW104" s="75"/>
      <c r="CX104" s="75"/>
      <c r="CY104" s="75"/>
      <c r="CZ104" s="75"/>
      <c r="DA104" s="75"/>
      <c r="DB104" s="75"/>
      <c r="DC104" s="75"/>
      <c r="DD104" s="75"/>
      <c r="DE104" s="75"/>
      <c r="DF104" s="75"/>
      <c r="DG104" s="75"/>
      <c r="DH104" s="75"/>
      <c r="DI104" s="32">
        <f>(DI30+DI73)/2</f>
        <v>1535.8341455675215</v>
      </c>
      <c r="DJ104" s="75"/>
      <c r="DK104" s="75"/>
      <c r="DL104" s="75"/>
      <c r="DM104" s="75"/>
      <c r="DN104" s="75"/>
      <c r="DO104" s="75"/>
      <c r="DP104" s="75"/>
      <c r="DQ104" s="75"/>
      <c r="DR104" s="75"/>
      <c r="DS104" s="75"/>
      <c r="DT104" s="75"/>
      <c r="DU104" s="32">
        <f>DU70</f>
        <v>3781.6277730192719</v>
      </c>
      <c r="DV104" s="75"/>
      <c r="DW104" s="75"/>
      <c r="DX104" s="75"/>
      <c r="DY104" s="75"/>
      <c r="DZ104" s="75"/>
      <c r="EA104" s="75"/>
      <c r="EB104" s="75"/>
      <c r="EC104" s="75"/>
      <c r="ED104" s="75"/>
      <c r="EE104" s="75"/>
      <c r="EF104" s="75"/>
      <c r="EG104" s="75"/>
      <c r="EH104" s="75"/>
      <c r="EI104" s="75"/>
      <c r="EJ104" s="75"/>
      <c r="EK104" s="75"/>
      <c r="EL104" s="75"/>
      <c r="EM104" s="32">
        <f>EM73</f>
        <v>13029.473627556512</v>
      </c>
      <c r="EN104" s="75"/>
      <c r="EO104" s="75"/>
      <c r="EP104" s="32">
        <f>EP30</f>
        <v>6175.0780000000004</v>
      </c>
      <c r="EQ104" s="75"/>
      <c r="ER104" s="75"/>
      <c r="ES104" s="32">
        <f>ES6</f>
        <v>6215.0468314424197</v>
      </c>
      <c r="ET104" s="75"/>
      <c r="EU104" s="75"/>
      <c r="EV104" s="32">
        <f>0</f>
        <v>0</v>
      </c>
      <c r="EW104" s="114"/>
      <c r="EX104" s="114"/>
      <c r="EY104" s="32">
        <f t="shared" ref="EY104:EY111" si="17">EP104+ES104+EV104</f>
        <v>12390.124831442419</v>
      </c>
      <c r="EZ104" s="114"/>
      <c r="FA104" s="114"/>
      <c r="FB104" s="32">
        <f>0</f>
        <v>0</v>
      </c>
      <c r="FC104" s="75"/>
      <c r="FD104" s="75"/>
      <c r="FE104" s="32">
        <f>FE6</f>
        <v>170.48960126114636</v>
      </c>
      <c r="FF104" s="75"/>
      <c r="FG104" s="75"/>
      <c r="FH104" s="32">
        <f>FH8</f>
        <v>23145.11306532663</v>
      </c>
      <c r="FI104" s="75"/>
      <c r="FJ104" s="114"/>
      <c r="FK104" s="32">
        <f t="shared" si="14"/>
        <v>23315.602666587776</v>
      </c>
      <c r="FL104" s="114"/>
      <c r="FM104" s="114"/>
      <c r="FN104" s="32">
        <f>FN73</f>
        <v>22995.026417752732</v>
      </c>
      <c r="FO104" s="75"/>
      <c r="FP104" s="75"/>
      <c r="FQ104" s="32">
        <f>0</f>
        <v>0</v>
      </c>
      <c r="FR104" s="75"/>
      <c r="FS104" s="75"/>
      <c r="FT104" s="32">
        <f>0</f>
        <v>0</v>
      </c>
      <c r="FU104" s="114"/>
      <c r="FV104" s="116"/>
      <c r="FW104" s="32">
        <f t="shared" ref="FW104:FW111" si="18">FN104+FQ104+FT104</f>
        <v>22995.026417752732</v>
      </c>
      <c r="FX104" s="116"/>
      <c r="FY104" s="23"/>
      <c r="FZ104" s="32">
        <f t="shared" si="15"/>
        <v>18655.078782669738</v>
      </c>
      <c r="GA104" s="32">
        <f t="shared" si="16"/>
        <v>77047.689461926231</v>
      </c>
      <c r="GB104" s="32">
        <f t="shared" ref="GB104:GB111" si="19">FZ104+GA104</f>
        <v>95702.768244595965</v>
      </c>
      <c r="GC104" s="23"/>
    </row>
    <row r="105" spans="1:185" s="83" customFormat="1" x14ac:dyDescent="0.3">
      <c r="A105" s="4"/>
      <c r="B105" s="75"/>
      <c r="C105" s="94"/>
      <c r="D105" s="75" t="s">
        <v>134</v>
      </c>
      <c r="E105" s="75">
        <v>1</v>
      </c>
      <c r="F105" s="75"/>
      <c r="G105" s="75"/>
      <c r="H105" s="75"/>
      <c r="I105" s="75"/>
      <c r="J105" s="75"/>
      <c r="K105" s="75"/>
      <c r="L105" s="75"/>
      <c r="M105" s="75"/>
      <c r="N105" s="75"/>
      <c r="O105" s="75"/>
      <c r="P105" s="75"/>
      <c r="Q105" s="32">
        <f>Q63</f>
        <v>17638.635027624307</v>
      </c>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32">
        <f>CH30</f>
        <v>961.569490521327</v>
      </c>
      <c r="CI105" s="75"/>
      <c r="CJ105" s="75"/>
      <c r="CK105" s="32">
        <f>CK30</f>
        <v>0</v>
      </c>
      <c r="CL105" s="75"/>
      <c r="CM105" s="75"/>
      <c r="CN105" s="32">
        <f>CN54</f>
        <v>280.33321243523318</v>
      </c>
      <c r="CO105" s="75"/>
      <c r="CP105" s="114"/>
      <c r="CQ105" s="32">
        <f t="shared" si="13"/>
        <v>280.33321243523318</v>
      </c>
      <c r="CR105" s="114"/>
      <c r="CS105" s="114"/>
      <c r="CT105" s="75"/>
      <c r="CU105" s="75"/>
      <c r="CV105" s="75"/>
      <c r="CW105" s="75"/>
      <c r="CX105" s="75"/>
      <c r="CY105" s="75"/>
      <c r="CZ105" s="75"/>
      <c r="DA105" s="75"/>
      <c r="DB105" s="75"/>
      <c r="DC105" s="75"/>
      <c r="DD105" s="75"/>
      <c r="DE105" s="75"/>
      <c r="DF105" s="75"/>
      <c r="DG105" s="75"/>
      <c r="DH105" s="75"/>
      <c r="DI105" s="32">
        <f>(DI30+DI73)/2</f>
        <v>1535.8341455675215</v>
      </c>
      <c r="DJ105" s="75"/>
      <c r="DK105" s="75"/>
      <c r="DL105" s="75"/>
      <c r="DM105" s="75"/>
      <c r="DN105" s="75"/>
      <c r="DO105" s="75"/>
      <c r="DP105" s="75"/>
      <c r="DQ105" s="75"/>
      <c r="DR105" s="75"/>
      <c r="DS105" s="75"/>
      <c r="DT105" s="75"/>
      <c r="DU105" s="32">
        <f>DU70</f>
        <v>3781.6277730192719</v>
      </c>
      <c r="DV105" s="75"/>
      <c r="DW105" s="75"/>
      <c r="DX105" s="75"/>
      <c r="DY105" s="75"/>
      <c r="DZ105" s="75"/>
      <c r="EA105" s="75"/>
      <c r="EB105" s="75"/>
      <c r="EC105" s="75"/>
      <c r="ED105" s="75"/>
      <c r="EE105" s="75"/>
      <c r="EF105" s="75"/>
      <c r="EG105" s="75"/>
      <c r="EH105" s="75"/>
      <c r="EI105" s="75"/>
      <c r="EJ105" s="75"/>
      <c r="EK105" s="75"/>
      <c r="EL105" s="75"/>
      <c r="EM105" s="32">
        <f>EM73</f>
        <v>13029.473627556512</v>
      </c>
      <c r="EN105" s="75"/>
      <c r="EO105" s="75"/>
      <c r="EP105" s="32">
        <f>EP9</f>
        <v>6670.2740740740728</v>
      </c>
      <c r="EQ105" s="75"/>
      <c r="ER105" s="75"/>
      <c r="ES105" s="32">
        <f>ES6</f>
        <v>6215.0468314424197</v>
      </c>
      <c r="ET105" s="75"/>
      <c r="EU105" s="75"/>
      <c r="EV105" s="32">
        <f>0</f>
        <v>0</v>
      </c>
      <c r="EW105" s="75"/>
      <c r="EX105" s="114"/>
      <c r="EY105" s="32">
        <f t="shared" si="17"/>
        <v>12885.320905516492</v>
      </c>
      <c r="EZ105" s="114"/>
      <c r="FA105" s="114"/>
      <c r="FB105" s="32">
        <f>0</f>
        <v>0</v>
      </c>
      <c r="FC105" s="75"/>
      <c r="FD105" s="75"/>
      <c r="FE105" s="32">
        <f>FE6</f>
        <v>170.48960126114636</v>
      </c>
      <c r="FF105" s="75"/>
      <c r="FG105" s="75"/>
      <c r="FH105" s="32">
        <f>FH9</f>
        <v>16591.055276381911</v>
      </c>
      <c r="FI105" s="75"/>
      <c r="FJ105" s="114"/>
      <c r="FK105" s="32">
        <f t="shared" si="14"/>
        <v>16761.544877643057</v>
      </c>
      <c r="FL105" s="114"/>
      <c r="FM105" s="114"/>
      <c r="FN105" s="32">
        <f>FN73</f>
        <v>22995.026417752732</v>
      </c>
      <c r="FO105" s="75"/>
      <c r="FP105" s="75"/>
      <c r="FQ105" s="32">
        <f>0</f>
        <v>0</v>
      </c>
      <c r="FR105" s="75"/>
      <c r="FS105" s="75"/>
      <c r="FT105" s="32">
        <f>0</f>
        <v>0</v>
      </c>
      <c r="FU105" s="114"/>
      <c r="FV105" s="116"/>
      <c r="FW105" s="32">
        <f t="shared" si="18"/>
        <v>22995.026417752732</v>
      </c>
      <c r="FX105" s="116"/>
      <c r="FY105" s="23"/>
      <c r="FZ105" s="32">
        <f t="shared" si="15"/>
        <v>18880.537730580869</v>
      </c>
      <c r="GA105" s="32">
        <f t="shared" si="16"/>
        <v>70988.827747055591</v>
      </c>
      <c r="GB105" s="32">
        <f t="shared" si="19"/>
        <v>89869.365477636456</v>
      </c>
      <c r="GC105" s="23"/>
    </row>
    <row r="106" spans="1:185" s="83" customFormat="1" x14ac:dyDescent="0.3">
      <c r="A106" s="4"/>
      <c r="B106" s="75"/>
      <c r="C106" s="94"/>
      <c r="D106" s="75" t="s">
        <v>135</v>
      </c>
      <c r="E106" s="75">
        <v>1</v>
      </c>
      <c r="F106" s="75"/>
      <c r="G106" s="75"/>
      <c r="H106" s="75"/>
      <c r="I106" s="75"/>
      <c r="J106" s="75"/>
      <c r="K106" s="75"/>
      <c r="L106" s="75"/>
      <c r="M106" s="75"/>
      <c r="N106" s="75"/>
      <c r="O106" s="75"/>
      <c r="P106" s="75"/>
      <c r="Q106" s="32">
        <f>Q63</f>
        <v>17638.635027624307</v>
      </c>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32">
        <f>CH31</f>
        <v>11354.738530805686</v>
      </c>
      <c r="CI106" s="75"/>
      <c r="CJ106" s="75"/>
      <c r="CK106" s="32">
        <f>CK24</f>
        <v>1747.3231552162852</v>
      </c>
      <c r="CL106" s="75"/>
      <c r="CM106" s="75"/>
      <c r="CN106" s="32">
        <f>CN47</f>
        <v>54.874264524103836</v>
      </c>
      <c r="CO106" s="75"/>
      <c r="CP106" s="114"/>
      <c r="CQ106" s="32">
        <f t="shared" si="13"/>
        <v>1802.197419740389</v>
      </c>
      <c r="CR106" s="114"/>
      <c r="CS106" s="114"/>
      <c r="CT106" s="75"/>
      <c r="CU106" s="75"/>
      <c r="CV106" s="75"/>
      <c r="CW106" s="75"/>
      <c r="CX106" s="75"/>
      <c r="CY106" s="75"/>
      <c r="CZ106" s="75"/>
      <c r="DA106" s="75"/>
      <c r="DB106" s="75"/>
      <c r="DC106" s="75"/>
      <c r="DD106" s="75"/>
      <c r="DE106" s="75"/>
      <c r="DF106" s="75"/>
      <c r="DG106" s="75"/>
      <c r="DH106" s="75"/>
      <c r="DI106" s="32">
        <f>(DI31+DI71+DI74)/3</f>
        <v>3948.6281620442373</v>
      </c>
      <c r="DJ106" s="75"/>
      <c r="DK106" s="75"/>
      <c r="DL106" s="75"/>
      <c r="DM106" s="75"/>
      <c r="DN106" s="75"/>
      <c r="DO106" s="75"/>
      <c r="DP106" s="75"/>
      <c r="DQ106" s="75"/>
      <c r="DR106" s="75"/>
      <c r="DS106" s="75"/>
      <c r="DT106" s="75"/>
      <c r="DU106" s="32">
        <f>DU73</f>
        <v>71995.651237890197</v>
      </c>
      <c r="DV106" s="75"/>
      <c r="DW106" s="75"/>
      <c r="DX106" s="75"/>
      <c r="DY106" s="75"/>
      <c r="DZ106" s="75"/>
      <c r="EA106" s="75"/>
      <c r="EB106" s="75"/>
      <c r="EC106" s="75"/>
      <c r="ED106" s="75"/>
      <c r="EE106" s="75"/>
      <c r="EF106" s="75"/>
      <c r="EG106" s="75"/>
      <c r="EH106" s="75"/>
      <c r="EI106" s="75"/>
      <c r="EJ106" s="75"/>
      <c r="EK106" s="75"/>
      <c r="EL106" s="75"/>
      <c r="EM106" s="32">
        <f>EM73</f>
        <v>13029.473627556512</v>
      </c>
      <c r="EN106" s="75"/>
      <c r="EO106" s="75"/>
      <c r="EP106" s="32">
        <f>EP71</f>
        <v>6773.0742857142859</v>
      </c>
      <c r="EQ106" s="75"/>
      <c r="ER106" s="75"/>
      <c r="ES106" s="32">
        <f>ES6</f>
        <v>6215.0468314424197</v>
      </c>
      <c r="ET106" s="75"/>
      <c r="EU106" s="75"/>
      <c r="EV106" s="32">
        <f>0</f>
        <v>0</v>
      </c>
      <c r="EW106" s="75"/>
      <c r="EX106" s="114"/>
      <c r="EY106" s="32">
        <f t="shared" si="17"/>
        <v>12988.121117156705</v>
      </c>
      <c r="EZ106" s="114"/>
      <c r="FA106" s="114"/>
      <c r="FB106" s="32">
        <f>FB7</f>
        <v>63370.591285403039</v>
      </c>
      <c r="FC106" s="75"/>
      <c r="FD106" s="75"/>
      <c r="FE106" s="32">
        <f>FE6</f>
        <v>170.48960126114636</v>
      </c>
      <c r="FF106" s="75"/>
      <c r="FG106" s="75"/>
      <c r="FH106" s="32">
        <f>FH7</f>
        <v>14199.535175879397</v>
      </c>
      <c r="FI106" s="75"/>
      <c r="FJ106" s="114"/>
      <c r="FK106" s="32">
        <f t="shared" si="14"/>
        <v>77740.616062543588</v>
      </c>
      <c r="FL106" s="114"/>
      <c r="FM106" s="114"/>
      <c r="FN106" s="32">
        <f>FN74</f>
        <v>22995.026417752732</v>
      </c>
      <c r="FO106" s="75"/>
      <c r="FP106" s="75"/>
      <c r="FQ106" s="32">
        <f>0</f>
        <v>0</v>
      </c>
      <c r="FR106" s="75"/>
      <c r="FS106" s="75"/>
      <c r="FT106" s="32">
        <f>0</f>
        <v>0</v>
      </c>
      <c r="FU106" s="114"/>
      <c r="FV106" s="116"/>
      <c r="FW106" s="32">
        <f t="shared" si="18"/>
        <v>22995.026417752732</v>
      </c>
      <c r="FX106" s="116"/>
      <c r="FY106" s="23"/>
      <c r="FZ106" s="32">
        <f t="shared" si="15"/>
        <v>30795.570978170381</v>
      </c>
      <c r="GA106" s="32">
        <f t="shared" si="16"/>
        <v>202697.51662494396</v>
      </c>
      <c r="GB106" s="32">
        <f t="shared" si="19"/>
        <v>233493.08760311434</v>
      </c>
      <c r="GC106" s="23"/>
    </row>
    <row r="107" spans="1:185" s="83" customFormat="1" x14ac:dyDescent="0.3">
      <c r="A107" s="4"/>
      <c r="B107" s="75"/>
      <c r="C107" s="94"/>
      <c r="D107" s="75" t="s">
        <v>136</v>
      </c>
      <c r="E107" s="75">
        <v>1</v>
      </c>
      <c r="F107" s="75"/>
      <c r="G107" s="75"/>
      <c r="H107" s="75"/>
      <c r="I107" s="75"/>
      <c r="J107" s="75"/>
      <c r="K107" s="75"/>
      <c r="L107" s="75"/>
      <c r="M107" s="75"/>
      <c r="N107" s="75"/>
      <c r="O107" s="75"/>
      <c r="P107" s="75"/>
      <c r="Q107" s="32">
        <f>Q63</f>
        <v>17638.635027624307</v>
      </c>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32">
        <f>CH31</f>
        <v>11354.738530805686</v>
      </c>
      <c r="CI107" s="75"/>
      <c r="CJ107" s="75"/>
      <c r="CK107" s="32">
        <f>CK24</f>
        <v>1747.3231552162852</v>
      </c>
      <c r="CL107" s="75"/>
      <c r="CM107" s="75"/>
      <c r="CN107" s="32">
        <f>CN47</f>
        <v>54.874264524103836</v>
      </c>
      <c r="CO107" s="75"/>
      <c r="CP107" s="114"/>
      <c r="CQ107" s="32">
        <f t="shared" si="13"/>
        <v>1802.197419740389</v>
      </c>
      <c r="CR107" s="114"/>
      <c r="CS107" s="114"/>
      <c r="CT107" s="75"/>
      <c r="CU107" s="75"/>
      <c r="CV107" s="75"/>
      <c r="CW107" s="75"/>
      <c r="CX107" s="75"/>
      <c r="CY107" s="75"/>
      <c r="CZ107" s="75"/>
      <c r="DA107" s="75"/>
      <c r="DB107" s="75"/>
      <c r="DC107" s="75"/>
      <c r="DD107" s="75"/>
      <c r="DE107" s="75"/>
      <c r="DF107" s="75"/>
      <c r="DG107" s="75"/>
      <c r="DH107" s="75"/>
      <c r="DI107" s="32">
        <f>(DI31+DI71+DI74)/3</f>
        <v>3948.6281620442373</v>
      </c>
      <c r="DJ107" s="75"/>
      <c r="DK107" s="75"/>
      <c r="DL107" s="75"/>
      <c r="DM107" s="75"/>
      <c r="DN107" s="75"/>
      <c r="DO107" s="75"/>
      <c r="DP107" s="75"/>
      <c r="DQ107" s="75"/>
      <c r="DR107" s="75"/>
      <c r="DS107" s="75"/>
      <c r="DT107" s="75"/>
      <c r="DU107" s="32">
        <f>DU73</f>
        <v>71995.651237890197</v>
      </c>
      <c r="DV107" s="75"/>
      <c r="DW107" s="75"/>
      <c r="DX107" s="75"/>
      <c r="DY107" s="75"/>
      <c r="DZ107" s="75"/>
      <c r="EA107" s="75"/>
      <c r="EB107" s="75"/>
      <c r="EC107" s="75"/>
      <c r="ED107" s="75"/>
      <c r="EE107" s="75"/>
      <c r="EF107" s="75"/>
      <c r="EG107" s="75"/>
      <c r="EH107" s="75"/>
      <c r="EI107" s="75"/>
      <c r="EJ107" s="75"/>
      <c r="EK107" s="75"/>
      <c r="EL107" s="75"/>
      <c r="EM107" s="32">
        <f>EM73</f>
        <v>13029.473627556512</v>
      </c>
      <c r="EN107" s="75"/>
      <c r="EO107" s="75"/>
      <c r="EP107" s="32">
        <f>EP71</f>
        <v>6773.0742857142859</v>
      </c>
      <c r="EQ107" s="75"/>
      <c r="ER107" s="75"/>
      <c r="ES107" s="32">
        <f>ES6</f>
        <v>6215.0468314424197</v>
      </c>
      <c r="ET107" s="75"/>
      <c r="EU107" s="75"/>
      <c r="EV107" s="32">
        <f>0</f>
        <v>0</v>
      </c>
      <c r="EW107" s="75"/>
      <c r="EX107" s="114"/>
      <c r="EY107" s="32">
        <f t="shared" si="17"/>
        <v>12988.121117156705</v>
      </c>
      <c r="EZ107" s="114"/>
      <c r="FA107" s="114"/>
      <c r="FB107" s="32">
        <f>FB8</f>
        <v>75259.174727668826</v>
      </c>
      <c r="FC107" s="75"/>
      <c r="FD107" s="75"/>
      <c r="FE107" s="32">
        <f>FE6</f>
        <v>170.48960126114636</v>
      </c>
      <c r="FF107" s="75"/>
      <c r="FG107" s="75"/>
      <c r="FH107" s="32">
        <f>FH8</f>
        <v>23145.11306532663</v>
      </c>
      <c r="FI107" s="75"/>
      <c r="FJ107" s="114"/>
      <c r="FK107" s="32">
        <f t="shared" si="14"/>
        <v>98574.777394256598</v>
      </c>
      <c r="FL107" s="114"/>
      <c r="FM107" s="114"/>
      <c r="FN107" s="32">
        <f>FN74</f>
        <v>22995.026417752732</v>
      </c>
      <c r="FO107" s="75"/>
      <c r="FP107" s="75"/>
      <c r="FQ107" s="32">
        <f>0</f>
        <v>0</v>
      </c>
      <c r="FR107" s="75"/>
      <c r="FS107" s="75"/>
      <c r="FT107" s="32">
        <f>0</f>
        <v>0</v>
      </c>
      <c r="FU107" s="114"/>
      <c r="FV107" s="116"/>
      <c r="FW107" s="32">
        <f t="shared" si="18"/>
        <v>22995.026417752732</v>
      </c>
      <c r="FX107" s="116"/>
      <c r="FY107" s="23"/>
      <c r="FZ107" s="32">
        <f t="shared" si="15"/>
        <v>30795.570978170381</v>
      </c>
      <c r="GA107" s="32">
        <f t="shared" si="16"/>
        <v>223531.67795665702</v>
      </c>
      <c r="GB107" s="32">
        <f t="shared" si="19"/>
        <v>254327.2489348274</v>
      </c>
      <c r="GC107" s="23"/>
    </row>
    <row r="108" spans="1:185" s="83" customFormat="1" x14ac:dyDescent="0.3">
      <c r="A108" s="4"/>
      <c r="B108" s="75"/>
      <c r="C108" s="94"/>
      <c r="D108" s="75" t="s">
        <v>137</v>
      </c>
      <c r="E108" s="75">
        <v>1</v>
      </c>
      <c r="F108" s="75"/>
      <c r="G108" s="75"/>
      <c r="H108" s="75"/>
      <c r="I108" s="75"/>
      <c r="J108" s="75"/>
      <c r="K108" s="75"/>
      <c r="L108" s="75"/>
      <c r="M108" s="75"/>
      <c r="N108" s="75"/>
      <c r="O108" s="75"/>
      <c r="P108" s="75"/>
      <c r="Q108" s="32">
        <f>Q63</f>
        <v>17638.635027624307</v>
      </c>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32">
        <f>CH31</f>
        <v>11354.738530805686</v>
      </c>
      <c r="CI108" s="75"/>
      <c r="CJ108" s="75"/>
      <c r="CK108" s="32">
        <f>CK24</f>
        <v>1747.3231552162852</v>
      </c>
      <c r="CL108" s="75"/>
      <c r="CM108" s="75"/>
      <c r="CN108" s="32">
        <f>CN54</f>
        <v>280.33321243523318</v>
      </c>
      <c r="CO108" s="75"/>
      <c r="CP108" s="114"/>
      <c r="CQ108" s="32">
        <f t="shared" si="13"/>
        <v>2027.6563676515184</v>
      </c>
      <c r="CR108" s="114"/>
      <c r="CS108" s="114"/>
      <c r="CT108" s="75"/>
      <c r="CU108" s="75"/>
      <c r="CV108" s="75"/>
      <c r="CW108" s="75"/>
      <c r="CX108" s="75"/>
      <c r="CY108" s="75"/>
      <c r="CZ108" s="75"/>
      <c r="DA108" s="75"/>
      <c r="DB108" s="75"/>
      <c r="DC108" s="75"/>
      <c r="DD108" s="75"/>
      <c r="DE108" s="75"/>
      <c r="DF108" s="75"/>
      <c r="DG108" s="75"/>
      <c r="DH108" s="75"/>
      <c r="DI108" s="32">
        <f>(DI31+DI71+DI74)/3</f>
        <v>3948.6281620442373</v>
      </c>
      <c r="DJ108" s="75"/>
      <c r="DK108" s="75"/>
      <c r="DL108" s="75"/>
      <c r="DM108" s="75"/>
      <c r="DN108" s="75"/>
      <c r="DO108" s="75"/>
      <c r="DP108" s="75"/>
      <c r="DQ108" s="75"/>
      <c r="DR108" s="75"/>
      <c r="DS108" s="75"/>
      <c r="DT108" s="75"/>
      <c r="DU108" s="32">
        <f>DU73</f>
        <v>71995.651237890197</v>
      </c>
      <c r="DV108" s="75"/>
      <c r="DW108" s="75"/>
      <c r="DX108" s="75"/>
      <c r="DY108" s="75"/>
      <c r="DZ108" s="75"/>
      <c r="EA108" s="75"/>
      <c r="EB108" s="75"/>
      <c r="EC108" s="75"/>
      <c r="ED108" s="75"/>
      <c r="EE108" s="75"/>
      <c r="EF108" s="75"/>
      <c r="EG108" s="75"/>
      <c r="EH108" s="75"/>
      <c r="EI108" s="75"/>
      <c r="EJ108" s="75"/>
      <c r="EK108" s="75"/>
      <c r="EL108" s="75"/>
      <c r="EM108" s="32">
        <f>EM73</f>
        <v>13029.473627556512</v>
      </c>
      <c r="EN108" s="75"/>
      <c r="EO108" s="75"/>
      <c r="EP108" s="32">
        <f>EP71</f>
        <v>6773.0742857142859</v>
      </c>
      <c r="EQ108" s="75"/>
      <c r="ER108" s="75"/>
      <c r="ES108" s="32">
        <f>ES6</f>
        <v>6215.0468314424197</v>
      </c>
      <c r="ET108" s="75"/>
      <c r="EU108" s="75"/>
      <c r="EV108" s="32">
        <f>0</f>
        <v>0</v>
      </c>
      <c r="EW108" s="75"/>
      <c r="EX108" s="114"/>
      <c r="EY108" s="32">
        <f t="shared" si="17"/>
        <v>12988.121117156705</v>
      </c>
      <c r="EZ108" s="114"/>
      <c r="FA108" s="114"/>
      <c r="FB108" s="32">
        <f>FB9</f>
        <v>104553.40915032678</v>
      </c>
      <c r="FC108" s="75"/>
      <c r="FD108" s="75"/>
      <c r="FE108" s="32">
        <f>FE6</f>
        <v>170.48960126114636</v>
      </c>
      <c r="FF108" s="75"/>
      <c r="FG108" s="75"/>
      <c r="FH108" s="32">
        <f>FH9</f>
        <v>16591.055276381911</v>
      </c>
      <c r="FI108" s="75"/>
      <c r="FJ108" s="114"/>
      <c r="FK108" s="32">
        <f t="shared" si="14"/>
        <v>121314.95402796984</v>
      </c>
      <c r="FL108" s="114"/>
      <c r="FM108" s="114"/>
      <c r="FN108" s="32">
        <f>FN74</f>
        <v>22995.026417752732</v>
      </c>
      <c r="FO108" s="75"/>
      <c r="FP108" s="75"/>
      <c r="FQ108" s="32">
        <f>0</f>
        <v>0</v>
      </c>
      <c r="FR108" s="75"/>
      <c r="FS108" s="75"/>
      <c r="FT108" s="32">
        <f>0</f>
        <v>0</v>
      </c>
      <c r="FU108" s="114"/>
      <c r="FV108" s="116"/>
      <c r="FW108" s="32">
        <f t="shared" si="18"/>
        <v>22995.026417752732</v>
      </c>
      <c r="FX108" s="116"/>
      <c r="FY108" s="23"/>
      <c r="FZ108" s="32">
        <f t="shared" si="15"/>
        <v>31021.029926081512</v>
      </c>
      <c r="GA108" s="32">
        <f t="shared" si="16"/>
        <v>246271.8545903702</v>
      </c>
      <c r="GB108" s="32">
        <f t="shared" si="19"/>
        <v>277292.88451645174</v>
      </c>
      <c r="GC108" s="23"/>
    </row>
    <row r="109" spans="1:185" s="83" customFormat="1" x14ac:dyDescent="0.3">
      <c r="A109" s="4"/>
      <c r="B109" s="75"/>
      <c r="C109" s="94"/>
      <c r="D109" s="75" t="s">
        <v>138</v>
      </c>
      <c r="E109" s="75">
        <v>1</v>
      </c>
      <c r="F109" s="75"/>
      <c r="G109" s="75"/>
      <c r="H109" s="75"/>
      <c r="I109" s="75"/>
      <c r="J109" s="75"/>
      <c r="K109" s="75"/>
      <c r="L109" s="75"/>
      <c r="M109" s="75"/>
      <c r="N109" s="75"/>
      <c r="O109" s="75"/>
      <c r="P109" s="75"/>
      <c r="Q109" s="32">
        <f>Q65</f>
        <v>12322.108066298342</v>
      </c>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32">
        <f>CH32</f>
        <v>657.48341232227483</v>
      </c>
      <c r="CI109" s="75"/>
      <c r="CJ109" s="75"/>
      <c r="CK109" s="32">
        <f>CK24</f>
        <v>1747.3231552162852</v>
      </c>
      <c r="CL109" s="75"/>
      <c r="CM109" s="75"/>
      <c r="CN109" s="32">
        <f>CN47</f>
        <v>54.874264524103836</v>
      </c>
      <c r="CO109" s="75"/>
      <c r="CP109" s="114"/>
      <c r="CQ109" s="32">
        <f t="shared" si="13"/>
        <v>1802.197419740389</v>
      </c>
      <c r="CR109" s="114"/>
      <c r="CS109" s="114"/>
      <c r="CT109" s="75"/>
      <c r="CU109" s="75"/>
      <c r="CV109" s="75"/>
      <c r="CW109" s="75"/>
      <c r="CX109" s="75"/>
      <c r="CY109" s="75"/>
      <c r="CZ109" s="75"/>
      <c r="DA109" s="75"/>
      <c r="DB109" s="75"/>
      <c r="DC109" s="75"/>
      <c r="DD109" s="75"/>
      <c r="DE109" s="75"/>
      <c r="DF109" s="75"/>
      <c r="DG109" s="75"/>
      <c r="DH109" s="75"/>
      <c r="DI109" s="32">
        <f>(DI32+DI72+DI74)/3</f>
        <v>4836.2964700909606</v>
      </c>
      <c r="DJ109" s="75"/>
      <c r="DK109" s="75"/>
      <c r="DL109" s="75"/>
      <c r="DM109" s="75"/>
      <c r="DN109" s="75"/>
      <c r="DO109" s="75"/>
      <c r="DP109" s="75"/>
      <c r="DQ109" s="75"/>
      <c r="DR109" s="75"/>
      <c r="DS109" s="75"/>
      <c r="DT109" s="75"/>
      <c r="DU109" s="32">
        <f>DU32</f>
        <v>47019.926232227488</v>
      </c>
      <c r="DV109" s="75"/>
      <c r="DW109" s="75"/>
      <c r="DX109" s="75"/>
      <c r="DY109" s="75"/>
      <c r="DZ109" s="75"/>
      <c r="EA109" s="75"/>
      <c r="EB109" s="75"/>
      <c r="EC109" s="75"/>
      <c r="ED109" s="75"/>
      <c r="EE109" s="75"/>
      <c r="EF109" s="75"/>
      <c r="EG109" s="75"/>
      <c r="EH109" s="75"/>
      <c r="EI109" s="75"/>
      <c r="EJ109" s="75"/>
      <c r="EK109" s="75"/>
      <c r="EL109" s="75"/>
      <c r="EM109" s="32">
        <f>EM74</f>
        <v>13029.473627556512</v>
      </c>
      <c r="EN109" s="75"/>
      <c r="EO109" s="75"/>
      <c r="EP109" s="32">
        <f>EP72</f>
        <v>6627.8514285714282</v>
      </c>
      <c r="EQ109" s="75"/>
      <c r="ER109" s="75"/>
      <c r="ES109" s="32">
        <f>ES6</f>
        <v>6215.0468314424197</v>
      </c>
      <c r="ET109" s="75"/>
      <c r="EU109" s="75"/>
      <c r="EV109" s="32">
        <f>0</f>
        <v>0</v>
      </c>
      <c r="EW109" s="75"/>
      <c r="EX109" s="114"/>
      <c r="EY109" s="32">
        <f t="shared" si="17"/>
        <v>12842.898260013848</v>
      </c>
      <c r="EZ109" s="114"/>
      <c r="FA109" s="114"/>
      <c r="FB109" s="32">
        <f>FB7</f>
        <v>63370.591285403039</v>
      </c>
      <c r="FC109" s="75"/>
      <c r="FD109" s="75"/>
      <c r="FE109" s="32">
        <f>FE6</f>
        <v>170.48960126114636</v>
      </c>
      <c r="FF109" s="75"/>
      <c r="FG109" s="75"/>
      <c r="FH109" s="32">
        <f>FH7</f>
        <v>14199.535175879397</v>
      </c>
      <c r="FI109" s="75"/>
      <c r="FJ109" s="114"/>
      <c r="FK109" s="32">
        <f t="shared" si="14"/>
        <v>77740.616062543588</v>
      </c>
      <c r="FL109" s="114"/>
      <c r="FM109" s="114"/>
      <c r="FN109" s="32">
        <f>FN74</f>
        <v>22995.026417752732</v>
      </c>
      <c r="FO109" s="75"/>
      <c r="FP109" s="75"/>
      <c r="FQ109" s="32">
        <f>0</f>
        <v>0</v>
      </c>
      <c r="FR109" s="75"/>
      <c r="FS109" s="75"/>
      <c r="FT109" s="32">
        <f>FT28+FU28</f>
        <v>37.07736098228284</v>
      </c>
      <c r="FU109" s="114"/>
      <c r="FV109" s="116"/>
      <c r="FW109" s="32">
        <f t="shared" si="18"/>
        <v>23032.103778735014</v>
      </c>
      <c r="FX109" s="116"/>
      <c r="FY109" s="23"/>
      <c r="FZ109" s="32">
        <f t="shared" si="15"/>
        <v>14781.788898361006</v>
      </c>
      <c r="GA109" s="32">
        <f t="shared" si="16"/>
        <v>178501.31443116741</v>
      </c>
      <c r="GB109" s="32">
        <f t="shared" si="19"/>
        <v>193283.10332952841</v>
      </c>
      <c r="GC109" s="23"/>
    </row>
    <row r="110" spans="1:185" s="83" customFormat="1" x14ac:dyDescent="0.3">
      <c r="A110" s="4"/>
      <c r="B110" s="75"/>
      <c r="C110" s="94"/>
      <c r="D110" s="75" t="s">
        <v>139</v>
      </c>
      <c r="E110" s="75">
        <v>1</v>
      </c>
      <c r="F110" s="75"/>
      <c r="G110" s="75"/>
      <c r="H110" s="75"/>
      <c r="I110" s="75"/>
      <c r="J110" s="75"/>
      <c r="K110" s="75"/>
      <c r="L110" s="75"/>
      <c r="M110" s="75"/>
      <c r="N110" s="75"/>
      <c r="O110" s="75"/>
      <c r="P110" s="75"/>
      <c r="Q110" s="32">
        <f>Q65</f>
        <v>12322.108066298342</v>
      </c>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32">
        <f>CH32</f>
        <v>657.48341232227483</v>
      </c>
      <c r="CI110" s="75"/>
      <c r="CJ110" s="75"/>
      <c r="CK110" s="32">
        <f>CK24</f>
        <v>1747.3231552162852</v>
      </c>
      <c r="CL110" s="75"/>
      <c r="CM110" s="75"/>
      <c r="CN110" s="32">
        <f>CN47</f>
        <v>54.874264524103836</v>
      </c>
      <c r="CO110" s="75"/>
      <c r="CP110" s="114"/>
      <c r="CQ110" s="32">
        <f t="shared" si="13"/>
        <v>1802.197419740389</v>
      </c>
      <c r="CR110" s="114"/>
      <c r="CS110" s="114"/>
      <c r="CT110" s="75"/>
      <c r="CU110" s="75"/>
      <c r="CV110" s="75"/>
      <c r="CW110" s="75"/>
      <c r="CX110" s="75"/>
      <c r="CY110" s="75"/>
      <c r="CZ110" s="75"/>
      <c r="DA110" s="75"/>
      <c r="DB110" s="75"/>
      <c r="DC110" s="75"/>
      <c r="DD110" s="75"/>
      <c r="DE110" s="75"/>
      <c r="DF110" s="75"/>
      <c r="DG110" s="75"/>
      <c r="DH110" s="75"/>
      <c r="DI110" s="32">
        <f>(DI32+DI72+DI74)/3</f>
        <v>4836.2964700909606</v>
      </c>
      <c r="DJ110" s="75"/>
      <c r="DK110" s="75"/>
      <c r="DL110" s="75"/>
      <c r="DM110" s="75"/>
      <c r="DN110" s="75"/>
      <c r="DO110" s="75"/>
      <c r="DP110" s="75"/>
      <c r="DQ110" s="75"/>
      <c r="DR110" s="75"/>
      <c r="DS110" s="75"/>
      <c r="DT110" s="75"/>
      <c r="DU110" s="32">
        <f>DU32</f>
        <v>47019.926232227488</v>
      </c>
      <c r="DV110" s="75"/>
      <c r="DW110" s="75"/>
      <c r="DX110" s="75"/>
      <c r="DY110" s="75"/>
      <c r="DZ110" s="75"/>
      <c r="EA110" s="75"/>
      <c r="EB110" s="75"/>
      <c r="EC110" s="75"/>
      <c r="ED110" s="75"/>
      <c r="EE110" s="75"/>
      <c r="EF110" s="75"/>
      <c r="EG110" s="75"/>
      <c r="EH110" s="75"/>
      <c r="EI110" s="75"/>
      <c r="EJ110" s="75"/>
      <c r="EK110" s="75"/>
      <c r="EL110" s="75"/>
      <c r="EM110" s="32">
        <f>EM74</f>
        <v>13029.473627556512</v>
      </c>
      <c r="EN110" s="75"/>
      <c r="EO110" s="75"/>
      <c r="EP110" s="32">
        <f>EP72</f>
        <v>6627.8514285714282</v>
      </c>
      <c r="EQ110" s="75"/>
      <c r="ER110" s="75"/>
      <c r="ES110" s="32">
        <f>ES6</f>
        <v>6215.0468314424197</v>
      </c>
      <c r="ET110" s="75"/>
      <c r="EU110" s="75"/>
      <c r="EV110" s="32">
        <f>0</f>
        <v>0</v>
      </c>
      <c r="EW110" s="75"/>
      <c r="EX110" s="114"/>
      <c r="EY110" s="32">
        <f t="shared" si="17"/>
        <v>12842.898260013848</v>
      </c>
      <c r="EZ110" s="114"/>
      <c r="FA110" s="114"/>
      <c r="FB110" s="32">
        <f>FB8</f>
        <v>75259.174727668826</v>
      </c>
      <c r="FC110" s="75"/>
      <c r="FD110" s="75"/>
      <c r="FE110" s="32">
        <f>FE6</f>
        <v>170.48960126114636</v>
      </c>
      <c r="FF110" s="75"/>
      <c r="FG110" s="75"/>
      <c r="FH110" s="32">
        <f>FH8</f>
        <v>23145.11306532663</v>
      </c>
      <c r="FI110" s="75"/>
      <c r="FJ110" s="114"/>
      <c r="FK110" s="32">
        <f t="shared" si="14"/>
        <v>98574.777394256598</v>
      </c>
      <c r="FL110" s="114"/>
      <c r="FM110" s="114"/>
      <c r="FN110" s="32">
        <f>FN74</f>
        <v>22995.026417752732</v>
      </c>
      <c r="FO110" s="75"/>
      <c r="FP110" s="75"/>
      <c r="FQ110" s="32">
        <f>0</f>
        <v>0</v>
      </c>
      <c r="FR110" s="75"/>
      <c r="FS110" s="75"/>
      <c r="FT110" s="32">
        <f>FT28+FU28</f>
        <v>37.07736098228284</v>
      </c>
      <c r="FU110" s="114"/>
      <c r="FV110" s="116"/>
      <c r="FW110" s="32">
        <f t="shared" si="18"/>
        <v>23032.103778735014</v>
      </c>
      <c r="FX110" s="116"/>
      <c r="FY110" s="23"/>
      <c r="FZ110" s="32">
        <f t="shared" si="15"/>
        <v>14781.788898361006</v>
      </c>
      <c r="GA110" s="32">
        <f t="shared" si="16"/>
        <v>199335.47576288044</v>
      </c>
      <c r="GB110" s="32">
        <f t="shared" si="19"/>
        <v>214117.26466124144</v>
      </c>
      <c r="GC110" s="23"/>
    </row>
    <row r="111" spans="1:185" s="83" customFormat="1" x14ac:dyDescent="0.3">
      <c r="A111" s="4"/>
      <c r="B111" s="75"/>
      <c r="C111" s="94"/>
      <c r="D111" s="75" t="s">
        <v>140</v>
      </c>
      <c r="E111" s="75">
        <v>1</v>
      </c>
      <c r="F111" s="75"/>
      <c r="G111" s="75"/>
      <c r="H111" s="75"/>
      <c r="I111" s="75"/>
      <c r="J111" s="75"/>
      <c r="K111" s="75"/>
      <c r="L111" s="75"/>
      <c r="M111" s="75"/>
      <c r="N111" s="75"/>
      <c r="O111" s="75"/>
      <c r="P111" s="75"/>
      <c r="Q111" s="32">
        <f>Q65</f>
        <v>12322.108066298342</v>
      </c>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75"/>
      <c r="CE111" s="75"/>
      <c r="CF111" s="75"/>
      <c r="CG111" s="75"/>
      <c r="CH111" s="32">
        <f>CH28+CI28</f>
        <v>22987.988365671059</v>
      </c>
      <c r="CI111" s="75"/>
      <c r="CJ111" s="75"/>
      <c r="CK111" s="32">
        <f>CK24</f>
        <v>1747.3231552162852</v>
      </c>
      <c r="CL111" s="75"/>
      <c r="CM111" s="75"/>
      <c r="CN111" s="32">
        <f>CN54</f>
        <v>280.33321243523318</v>
      </c>
      <c r="CO111" s="75"/>
      <c r="CP111" s="114"/>
      <c r="CQ111" s="32">
        <f t="shared" si="13"/>
        <v>2027.6563676515184</v>
      </c>
      <c r="CR111" s="114"/>
      <c r="CS111" s="114"/>
      <c r="CT111" s="75"/>
      <c r="CU111" s="75"/>
      <c r="CV111" s="75"/>
      <c r="CW111" s="75"/>
      <c r="CX111" s="75"/>
      <c r="CY111" s="75"/>
      <c r="CZ111" s="75"/>
      <c r="DA111" s="75"/>
      <c r="DB111" s="75"/>
      <c r="DC111" s="75"/>
      <c r="DD111" s="75"/>
      <c r="DE111" s="75"/>
      <c r="DF111" s="75"/>
      <c r="DG111" s="75"/>
      <c r="DH111" s="75"/>
      <c r="DI111" s="32">
        <f>(DI32+DI72+DI74)/3</f>
        <v>4836.2964700909606</v>
      </c>
      <c r="DJ111" s="75"/>
      <c r="DK111" s="75"/>
      <c r="DL111" s="75"/>
      <c r="DM111" s="75"/>
      <c r="DN111" s="75"/>
      <c r="DO111" s="75"/>
      <c r="DP111" s="75"/>
      <c r="DQ111" s="75"/>
      <c r="DR111" s="75"/>
      <c r="DS111" s="75"/>
      <c r="DT111" s="75"/>
      <c r="DU111" s="32">
        <f>DU32</f>
        <v>47019.926232227488</v>
      </c>
      <c r="DV111" s="75"/>
      <c r="DW111" s="75"/>
      <c r="DX111" s="75"/>
      <c r="DY111" s="75"/>
      <c r="DZ111" s="75"/>
      <c r="EA111" s="75"/>
      <c r="EB111" s="75"/>
      <c r="EC111" s="75"/>
      <c r="ED111" s="75"/>
      <c r="EE111" s="75"/>
      <c r="EF111" s="75"/>
      <c r="EG111" s="75"/>
      <c r="EH111" s="75"/>
      <c r="EI111" s="75"/>
      <c r="EJ111" s="75"/>
      <c r="EK111" s="75"/>
      <c r="EL111" s="75"/>
      <c r="EM111" s="32">
        <f>EM74</f>
        <v>13029.473627556512</v>
      </c>
      <c r="EN111" s="75"/>
      <c r="EO111" s="75"/>
      <c r="EP111" s="32">
        <f>EP72</f>
        <v>6627.8514285714282</v>
      </c>
      <c r="EQ111" s="75"/>
      <c r="ER111" s="75"/>
      <c r="ES111" s="32">
        <f>ES6</f>
        <v>6215.0468314424197</v>
      </c>
      <c r="ET111" s="75"/>
      <c r="EU111" s="75"/>
      <c r="EV111" s="32">
        <f>0</f>
        <v>0</v>
      </c>
      <c r="EW111" s="75"/>
      <c r="EX111" s="114"/>
      <c r="EY111" s="32">
        <f t="shared" si="17"/>
        <v>12842.898260013848</v>
      </c>
      <c r="EZ111" s="114"/>
      <c r="FA111" s="114"/>
      <c r="FB111" s="32">
        <f>FB9</f>
        <v>104553.40915032678</v>
      </c>
      <c r="FC111" s="75"/>
      <c r="FD111" s="75"/>
      <c r="FE111" s="32">
        <f>FE6</f>
        <v>170.48960126114636</v>
      </c>
      <c r="FF111" s="75"/>
      <c r="FG111" s="75"/>
      <c r="FH111" s="32">
        <f>FH9</f>
        <v>16591.055276381911</v>
      </c>
      <c r="FI111" s="75"/>
      <c r="FJ111" s="114"/>
      <c r="FK111" s="32">
        <f t="shared" si="14"/>
        <v>121314.95402796984</v>
      </c>
      <c r="FL111" s="114"/>
      <c r="FM111" s="114"/>
      <c r="FN111" s="32">
        <f>FN74</f>
        <v>22995.026417752732</v>
      </c>
      <c r="FO111" s="75"/>
      <c r="FP111" s="75"/>
      <c r="FQ111" s="32">
        <f>0</f>
        <v>0</v>
      </c>
      <c r="FR111" s="75"/>
      <c r="FS111" s="75"/>
      <c r="FT111" s="32">
        <f>FT28+FU28</f>
        <v>37.07736098228284</v>
      </c>
      <c r="FU111" s="114"/>
      <c r="FV111" s="116"/>
      <c r="FW111" s="32">
        <f t="shared" si="18"/>
        <v>23032.103778735014</v>
      </c>
      <c r="FX111" s="116"/>
      <c r="FY111" s="23"/>
      <c r="FZ111" s="32">
        <f t="shared" si="15"/>
        <v>37337.752799620917</v>
      </c>
      <c r="GA111" s="32">
        <f t="shared" si="16"/>
        <v>222075.65239659368</v>
      </c>
      <c r="GB111" s="32">
        <f t="shared" si="19"/>
        <v>259413.40519621459</v>
      </c>
      <c r="GC111" s="23"/>
    </row>
    <row r="112" spans="1:185" s="83" customFormat="1" x14ac:dyDescent="0.3">
      <c r="A112" s="4"/>
      <c r="B112" s="27"/>
      <c r="C112" s="27"/>
      <c r="D112" s="27"/>
      <c r="E112" s="27"/>
      <c r="F112" s="25"/>
      <c r="G112" s="27"/>
      <c r="H112" s="27"/>
      <c r="I112" s="27"/>
      <c r="J112" s="27"/>
      <c r="K112" s="27"/>
      <c r="L112" s="27"/>
      <c r="M112" s="27"/>
      <c r="N112" s="27"/>
      <c r="O112" s="27"/>
      <c r="P112" s="27"/>
      <c r="Q112" s="25"/>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5"/>
      <c r="CI112" s="27"/>
      <c r="CJ112" s="27"/>
      <c r="CK112" s="25"/>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5"/>
      <c r="DJ112" s="27"/>
      <c r="DK112" s="27"/>
      <c r="DL112" s="27"/>
      <c r="DM112" s="27"/>
      <c r="DN112" s="27"/>
      <c r="DO112" s="27"/>
      <c r="DP112" s="27"/>
      <c r="DQ112" s="27"/>
      <c r="DR112" s="27"/>
      <c r="DS112" s="27"/>
      <c r="DT112" s="27"/>
      <c r="DU112" s="25"/>
      <c r="DV112" s="27"/>
      <c r="DW112" s="27"/>
      <c r="DX112" s="27"/>
      <c r="DY112" s="27"/>
      <c r="DZ112" s="27"/>
      <c r="EA112" s="27"/>
      <c r="EB112" s="27"/>
      <c r="EC112" s="27"/>
      <c r="ED112" s="27"/>
      <c r="EE112" s="27"/>
      <c r="EF112" s="27"/>
      <c r="EG112" s="27"/>
      <c r="EH112" s="27"/>
      <c r="EI112" s="27"/>
      <c r="EJ112" s="27"/>
      <c r="EK112" s="27"/>
      <c r="EL112" s="27"/>
      <c r="EM112" s="25"/>
      <c r="EN112" s="27"/>
      <c r="EO112" s="27"/>
      <c r="EP112" s="25"/>
      <c r="EQ112" s="27"/>
      <c r="ER112" s="27"/>
      <c r="ES112" s="25"/>
      <c r="ET112" s="27"/>
      <c r="EU112" s="27"/>
      <c r="EV112" s="25"/>
      <c r="EW112" s="27"/>
      <c r="EX112" s="27"/>
      <c r="EY112" s="27"/>
      <c r="EZ112" s="27"/>
      <c r="FA112" s="27"/>
      <c r="FB112" s="25"/>
      <c r="FC112" s="27"/>
      <c r="FD112" s="27"/>
      <c r="FE112" s="25"/>
      <c r="FF112" s="27"/>
      <c r="FG112" s="27"/>
      <c r="FH112" s="25"/>
      <c r="FI112" s="27"/>
      <c r="FJ112" s="27"/>
      <c r="FK112" s="27"/>
      <c r="FL112" s="27"/>
      <c r="FM112" s="27"/>
      <c r="FN112" s="25"/>
      <c r="FO112" s="27"/>
      <c r="FP112" s="27"/>
      <c r="FQ112" s="25"/>
      <c r="FR112" s="27"/>
      <c r="FS112" s="27"/>
      <c r="FT112" s="25"/>
      <c r="FU112" s="27"/>
      <c r="FV112" s="27"/>
      <c r="FW112" s="27"/>
      <c r="FX112" s="27"/>
      <c r="FY112" s="23"/>
      <c r="FZ112" s="25"/>
      <c r="GA112" s="25"/>
      <c r="GB112" s="25"/>
      <c r="GC112" s="23"/>
    </row>
    <row r="113" spans="1:185" s="83" customFormat="1" x14ac:dyDescent="0.3">
      <c r="A113" s="4"/>
      <c r="B113" s="23"/>
      <c r="C113" s="23"/>
      <c r="D113" s="23"/>
      <c r="E113" s="23"/>
      <c r="F113" s="31"/>
      <c r="G113" s="23"/>
      <c r="H113" s="23"/>
      <c r="I113" s="23"/>
      <c r="J113" s="23"/>
      <c r="K113" s="23"/>
      <c r="L113" s="23"/>
      <c r="M113" s="23"/>
      <c r="N113" s="23"/>
      <c r="O113" s="23"/>
      <c r="P113" s="23"/>
      <c r="Q113" s="31"/>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31"/>
      <c r="CI113" s="23"/>
      <c r="CJ113" s="23"/>
      <c r="CK113" s="31"/>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31"/>
      <c r="DJ113" s="23"/>
      <c r="DK113" s="23"/>
      <c r="DL113" s="23"/>
      <c r="DM113" s="23"/>
      <c r="DN113" s="23"/>
      <c r="DO113" s="23"/>
      <c r="DP113" s="23"/>
      <c r="DQ113" s="23"/>
      <c r="DR113" s="23"/>
      <c r="DS113" s="23"/>
      <c r="DT113" s="23"/>
      <c r="DU113" s="31"/>
      <c r="DV113" s="23"/>
      <c r="DW113" s="23"/>
      <c r="DX113" s="23"/>
      <c r="DY113" s="23"/>
      <c r="DZ113" s="23"/>
      <c r="EA113" s="23"/>
      <c r="EB113" s="23"/>
      <c r="EC113" s="23"/>
      <c r="ED113" s="23"/>
      <c r="EE113" s="23"/>
      <c r="EF113" s="23"/>
      <c r="EG113" s="23"/>
      <c r="EH113" s="23"/>
      <c r="EI113" s="23"/>
      <c r="EJ113" s="23"/>
      <c r="EK113" s="23"/>
      <c r="EL113" s="23"/>
      <c r="EM113" s="31"/>
      <c r="EN113" s="23"/>
      <c r="EO113" s="23"/>
      <c r="EP113" s="31"/>
      <c r="EQ113" s="23"/>
      <c r="ER113" s="23"/>
      <c r="ES113" s="31"/>
      <c r="ET113" s="23"/>
      <c r="EU113" s="23"/>
      <c r="EV113" s="31"/>
      <c r="EW113" s="23"/>
      <c r="EX113" s="23"/>
      <c r="EY113" s="23"/>
      <c r="EZ113" s="23"/>
      <c r="FA113" s="31"/>
      <c r="FB113" s="31"/>
      <c r="FC113" s="23"/>
      <c r="FD113" s="23"/>
      <c r="FE113" s="31"/>
      <c r="FF113" s="23"/>
      <c r="FG113" s="23"/>
      <c r="FH113" s="31"/>
      <c r="FI113" s="23"/>
      <c r="FJ113" s="23"/>
      <c r="FK113" s="23"/>
      <c r="FL113" s="23"/>
      <c r="FM113" s="31"/>
      <c r="FN113" s="31"/>
      <c r="FO113" s="23"/>
      <c r="FP113" s="23"/>
      <c r="FQ113" s="31"/>
      <c r="FR113" s="23"/>
      <c r="FS113" s="23"/>
      <c r="FT113" s="31"/>
      <c r="FU113" s="23"/>
      <c r="FV113" s="23"/>
      <c r="FW113" s="23"/>
      <c r="FX113" s="23"/>
      <c r="FY113" s="23"/>
      <c r="FZ113" s="31"/>
      <c r="GA113" s="16" t="s">
        <v>189</v>
      </c>
      <c r="GB113" s="31"/>
      <c r="GC113" s="23"/>
    </row>
    <row r="114" spans="1:185" x14ac:dyDescent="0.3">
      <c r="A114" s="4"/>
      <c r="B114" s="47" t="s">
        <v>142</v>
      </c>
      <c r="C114" s="47"/>
      <c r="D114" s="4"/>
      <c r="E114" s="27"/>
      <c r="F114" s="19"/>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19"/>
      <c r="CI114" s="4"/>
      <c r="CJ114" s="4"/>
      <c r="CK114" s="4"/>
      <c r="CL114" s="4"/>
      <c r="CM114" s="4"/>
      <c r="CN114" s="4"/>
      <c r="CO114" s="4"/>
      <c r="CP114" s="4"/>
      <c r="CQ114" s="4"/>
      <c r="CR114" s="4"/>
      <c r="CS114" s="19"/>
      <c r="CT114" s="4"/>
      <c r="CU114" s="4"/>
      <c r="CV114" s="4"/>
      <c r="CW114" s="4"/>
      <c r="CX114" s="4"/>
      <c r="CY114" s="4"/>
      <c r="CZ114" s="4"/>
      <c r="DA114" s="4"/>
      <c r="DB114" s="4"/>
      <c r="DC114" s="4"/>
      <c r="DD114" s="4"/>
      <c r="DE114" s="4"/>
      <c r="DF114" s="4"/>
      <c r="DG114" s="4"/>
      <c r="DH114" s="4"/>
      <c r="DI114" s="19"/>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19"/>
      <c r="FB114" s="4"/>
      <c r="FC114" s="4"/>
      <c r="FD114" s="4"/>
      <c r="FE114" s="4"/>
      <c r="FF114" s="4"/>
      <c r="FG114" s="4"/>
      <c r="FH114" s="4"/>
      <c r="FI114" s="4"/>
      <c r="FJ114" s="4"/>
      <c r="FK114" s="4"/>
      <c r="FL114" s="4"/>
      <c r="FM114" s="19"/>
      <c r="FN114" s="4"/>
      <c r="FO114" s="4"/>
      <c r="FP114" s="4"/>
      <c r="FQ114" s="4"/>
      <c r="FR114" s="4"/>
      <c r="FS114" s="4"/>
      <c r="FT114" s="4"/>
      <c r="FU114" s="4"/>
      <c r="FV114" s="4"/>
      <c r="FW114" s="4"/>
      <c r="FX114" s="4"/>
      <c r="FY114" s="3"/>
      <c r="FZ114" s="47" t="s">
        <v>145</v>
      </c>
      <c r="GA114" s="47" t="s">
        <v>146</v>
      </c>
      <c r="GB114" s="47" t="s">
        <v>147</v>
      </c>
      <c r="GC114" s="3"/>
    </row>
    <row r="115" spans="1:185" s="83" customFormat="1" x14ac:dyDescent="0.3">
      <c r="A115" s="4"/>
      <c r="B115" s="39"/>
      <c r="C115" s="94"/>
      <c r="D115" s="39" t="s">
        <v>128</v>
      </c>
      <c r="E115" s="39">
        <v>2</v>
      </c>
      <c r="F115" s="39"/>
      <c r="G115" s="39"/>
      <c r="H115" s="39"/>
      <c r="I115" s="39"/>
      <c r="J115" s="39"/>
      <c r="K115" s="39"/>
      <c r="L115" s="39"/>
      <c r="M115" s="39"/>
      <c r="N115" s="39"/>
      <c r="O115" s="39"/>
      <c r="P115" s="39"/>
      <c r="Q115" s="32">
        <f>Q33</f>
        <v>7541.3347393364929</v>
      </c>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2">
        <f>CH33</f>
        <v>954.99465639810421</v>
      </c>
      <c r="CI115" s="39"/>
      <c r="CJ115" s="39"/>
      <c r="CK115" s="32">
        <f>CK33</f>
        <v>95.335094786729854</v>
      </c>
      <c r="CL115" s="39"/>
      <c r="CM115" s="39"/>
      <c r="CN115" s="32">
        <f>CN48</f>
        <v>25.722311495673676</v>
      </c>
      <c r="CO115" s="39"/>
      <c r="CP115" s="114"/>
      <c r="CQ115" s="32">
        <f>CK115+CN115</f>
        <v>121.05740628240353</v>
      </c>
      <c r="CR115" s="114"/>
      <c r="CS115" s="114"/>
      <c r="CT115" s="39"/>
      <c r="CU115" s="39"/>
      <c r="CV115" s="39"/>
      <c r="CW115" s="39"/>
      <c r="CX115" s="39"/>
      <c r="CY115" s="39"/>
      <c r="CZ115" s="39"/>
      <c r="DA115" s="39"/>
      <c r="DB115" s="39"/>
      <c r="DC115" s="39"/>
      <c r="DD115" s="39"/>
      <c r="DE115" s="39"/>
      <c r="DF115" s="39"/>
      <c r="DG115" s="39"/>
      <c r="DH115" s="39"/>
      <c r="DI115" s="32">
        <f>(DI75+DI76)/2</f>
        <v>51511.178214639527</v>
      </c>
      <c r="DJ115" s="39"/>
      <c r="DK115" s="39"/>
      <c r="DL115" s="39"/>
      <c r="DM115" s="39"/>
      <c r="DN115" s="39"/>
      <c r="DO115" s="39"/>
      <c r="DP115" s="39"/>
      <c r="DQ115" s="39"/>
      <c r="DR115" s="39"/>
      <c r="DS115" s="39"/>
      <c r="DT115" s="39"/>
      <c r="DU115" s="32">
        <f>DU6</f>
        <v>1320.9629748200896</v>
      </c>
      <c r="DV115" s="39"/>
      <c r="DW115" s="39"/>
      <c r="DX115" s="39"/>
      <c r="DY115" s="39"/>
      <c r="DZ115" s="39"/>
      <c r="EA115" s="39"/>
      <c r="EB115" s="39"/>
      <c r="EC115" s="39"/>
      <c r="ED115" s="39"/>
      <c r="EE115" s="39"/>
      <c r="EF115" s="39"/>
      <c r="EG115" s="39"/>
      <c r="EH115" s="39"/>
      <c r="EI115" s="39"/>
      <c r="EJ115" s="39"/>
      <c r="EK115" s="39"/>
      <c r="EL115" s="39"/>
      <c r="EM115" s="32">
        <f>(EM33+EM75)/2</f>
        <v>3774.243403645331</v>
      </c>
      <c r="EN115" s="39"/>
      <c r="EO115" s="39"/>
      <c r="EP115" s="32">
        <f>EP7</f>
        <v>5632.7480916030527</v>
      </c>
      <c r="EQ115" s="39"/>
      <c r="ER115" s="39"/>
      <c r="ES115" s="32">
        <f>ES6</f>
        <v>6215.0468314424197</v>
      </c>
      <c r="ET115" s="39"/>
      <c r="EU115" s="39"/>
      <c r="EV115" s="32">
        <f>0</f>
        <v>0</v>
      </c>
      <c r="EW115" s="39"/>
      <c r="EX115" s="114"/>
      <c r="EY115" s="32">
        <f>EP115+ES115+EV115</f>
        <v>11847.794923045472</v>
      </c>
      <c r="EZ115" s="114"/>
      <c r="FA115" s="114"/>
      <c r="FB115" s="32">
        <f>(FB47+FB7)/2</f>
        <v>45183.760214130089</v>
      </c>
      <c r="FC115" s="39"/>
      <c r="FD115" s="39"/>
      <c r="FE115" s="32">
        <f>FE6</f>
        <v>170.48960126114636</v>
      </c>
      <c r="FF115" s="39"/>
      <c r="FG115" s="39"/>
      <c r="FH115" s="32">
        <f>FH7</f>
        <v>14199.535175879397</v>
      </c>
      <c r="FI115" s="39"/>
      <c r="FJ115" s="114"/>
      <c r="FK115" s="32">
        <f>FB115+FE115+FH115</f>
        <v>59553.784991270637</v>
      </c>
      <c r="FL115" s="114"/>
      <c r="FM115" s="114"/>
      <c r="FN115" s="32">
        <f>FN76</f>
        <v>2328.9834448749561</v>
      </c>
      <c r="FO115" s="39"/>
      <c r="FP115" s="39"/>
      <c r="FQ115" s="32">
        <f>FQ76</f>
        <v>13165.635317600094</v>
      </c>
      <c r="FR115" s="39"/>
      <c r="FS115" s="39"/>
      <c r="FT115" s="32">
        <f>0</f>
        <v>0</v>
      </c>
      <c r="FU115" s="114"/>
      <c r="FV115" s="116"/>
      <c r="FW115" s="32">
        <f>FN115+FQ115+FT115</f>
        <v>15494.618762475049</v>
      </c>
      <c r="FX115" s="116"/>
      <c r="FY115" s="23"/>
      <c r="FZ115" s="32">
        <f>Q115+CH115+CK115+CN115</f>
        <v>8617.3868020170012</v>
      </c>
      <c r="GA115" s="32">
        <f>DI115+DU115+EM115+EP115+ES115+EV115+FB115+FE115+FH115+FN115+FQ115+FT115</f>
        <v>143502.5832698961</v>
      </c>
      <c r="GB115" s="32">
        <f>FZ115+GA115</f>
        <v>152119.97007191309</v>
      </c>
      <c r="GC115" s="23"/>
    </row>
    <row r="116" spans="1:185" s="83" customFormat="1" x14ac:dyDescent="0.3">
      <c r="A116" s="4"/>
      <c r="B116" s="39"/>
      <c r="C116" s="94"/>
      <c r="D116" s="39" t="s">
        <v>127</v>
      </c>
      <c r="E116" s="39">
        <v>2</v>
      </c>
      <c r="F116" s="39"/>
      <c r="G116" s="39"/>
      <c r="H116" s="39"/>
      <c r="I116" s="39"/>
      <c r="J116" s="39"/>
      <c r="K116" s="39"/>
      <c r="L116" s="39"/>
      <c r="M116" s="39"/>
      <c r="N116" s="39"/>
      <c r="O116" s="39"/>
      <c r="P116" s="39"/>
      <c r="Q116" s="32">
        <f>Q33</f>
        <v>7541.3347393364929</v>
      </c>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2">
        <f>CH33</f>
        <v>954.99465639810421</v>
      </c>
      <c r="CI116" s="39"/>
      <c r="CJ116" s="39"/>
      <c r="CK116" s="32">
        <f>CK33</f>
        <v>95.335094786729854</v>
      </c>
      <c r="CL116" s="39"/>
      <c r="CM116" s="39"/>
      <c r="CN116" s="32">
        <f>CN48</f>
        <v>25.722311495673676</v>
      </c>
      <c r="CO116" s="39"/>
      <c r="CP116" s="114"/>
      <c r="CQ116" s="32">
        <f>CK116+CN116</f>
        <v>121.05740628240353</v>
      </c>
      <c r="CR116" s="114"/>
      <c r="CS116" s="114"/>
      <c r="CT116" s="39"/>
      <c r="CU116" s="39"/>
      <c r="CV116" s="39"/>
      <c r="CW116" s="39"/>
      <c r="CX116" s="39"/>
      <c r="CY116" s="39"/>
      <c r="CZ116" s="39"/>
      <c r="DA116" s="39"/>
      <c r="DB116" s="39"/>
      <c r="DC116" s="39"/>
      <c r="DD116" s="39"/>
      <c r="DE116" s="39"/>
      <c r="DF116" s="39"/>
      <c r="DG116" s="39"/>
      <c r="DH116" s="39"/>
      <c r="DI116" s="32">
        <f>(DI75+DI76)/2</f>
        <v>51511.178214639527</v>
      </c>
      <c r="DJ116" s="39"/>
      <c r="DK116" s="39"/>
      <c r="DL116" s="39"/>
      <c r="DM116" s="39"/>
      <c r="DN116" s="39"/>
      <c r="DO116" s="39"/>
      <c r="DP116" s="39"/>
      <c r="DQ116" s="39"/>
      <c r="DR116" s="39"/>
      <c r="DS116" s="39"/>
      <c r="DT116" s="39"/>
      <c r="DU116" s="32">
        <f>DU6</f>
        <v>1320.9629748200896</v>
      </c>
      <c r="DV116" s="39"/>
      <c r="DW116" s="39"/>
      <c r="DX116" s="39"/>
      <c r="DY116" s="39"/>
      <c r="DZ116" s="39"/>
      <c r="EA116" s="39"/>
      <c r="EB116" s="39"/>
      <c r="EC116" s="39"/>
      <c r="ED116" s="39"/>
      <c r="EE116" s="39"/>
      <c r="EF116" s="39"/>
      <c r="EG116" s="39"/>
      <c r="EH116" s="39"/>
      <c r="EI116" s="39"/>
      <c r="EJ116" s="39"/>
      <c r="EK116" s="39"/>
      <c r="EL116" s="39"/>
      <c r="EM116" s="32">
        <f>(EM33+EM75)/2</f>
        <v>3774.243403645331</v>
      </c>
      <c r="EN116" s="39"/>
      <c r="EO116" s="39"/>
      <c r="EP116" s="32">
        <f>EP8</f>
        <v>4445.5215686274505</v>
      </c>
      <c r="EQ116" s="39"/>
      <c r="ER116" s="39"/>
      <c r="ES116" s="32">
        <f>ES6</f>
        <v>6215.0468314424197</v>
      </c>
      <c r="ET116" s="39"/>
      <c r="EU116" s="39"/>
      <c r="EV116" s="32">
        <f>0</f>
        <v>0</v>
      </c>
      <c r="EW116" s="39"/>
      <c r="EX116" s="114"/>
      <c r="EY116" s="32">
        <f>EP116+ES116+EV116</f>
        <v>10660.568400069871</v>
      </c>
      <c r="EZ116" s="114"/>
      <c r="FA116" s="114"/>
      <c r="FB116" s="32">
        <f>(FB47+FB8)/2</f>
        <v>51128.051935262985</v>
      </c>
      <c r="FC116" s="39"/>
      <c r="FD116" s="39"/>
      <c r="FE116" s="32">
        <f>FE6</f>
        <v>170.48960126114636</v>
      </c>
      <c r="FF116" s="39"/>
      <c r="FG116" s="39"/>
      <c r="FH116" s="32">
        <f>FH8</f>
        <v>23145.11306532663</v>
      </c>
      <c r="FI116" s="39"/>
      <c r="FJ116" s="114"/>
      <c r="FK116" s="32">
        <f>FB116+FE116+FH116</f>
        <v>74443.654601850765</v>
      </c>
      <c r="FL116" s="114"/>
      <c r="FM116" s="114"/>
      <c r="FN116" s="32">
        <f>FN76</f>
        <v>2328.9834448749561</v>
      </c>
      <c r="FO116" s="39"/>
      <c r="FP116" s="39"/>
      <c r="FQ116" s="32">
        <f>FQ76</f>
        <v>13165.635317600094</v>
      </c>
      <c r="FR116" s="39"/>
      <c r="FS116" s="39"/>
      <c r="FT116" s="32">
        <f>0</f>
        <v>0</v>
      </c>
      <c r="FU116" s="114"/>
      <c r="FV116" s="116"/>
      <c r="FW116" s="32">
        <f t="shared" ref="FW116:FW117" si="20">FN116+FQ116+FT116</f>
        <v>15494.618762475049</v>
      </c>
      <c r="FX116" s="116"/>
      <c r="FY116" s="23"/>
      <c r="FZ116" s="32">
        <f>Q116+CH116+CK116+CN116</f>
        <v>8617.3868020170012</v>
      </c>
      <c r="GA116" s="32">
        <f>DI116+DU116+EM116+EP116+ES116+EV116+FB116+FE116+FH116+FN116+FQ116+FT116</f>
        <v>157205.22635750065</v>
      </c>
      <c r="GB116" s="32">
        <f>FZ116+GA116</f>
        <v>165822.61315951764</v>
      </c>
      <c r="GC116" s="23"/>
    </row>
    <row r="117" spans="1:185" s="83" customFormat="1" x14ac:dyDescent="0.3">
      <c r="A117" s="4"/>
      <c r="B117" s="39"/>
      <c r="C117" s="94"/>
      <c r="D117" s="39" t="s">
        <v>124</v>
      </c>
      <c r="E117" s="39">
        <v>2</v>
      </c>
      <c r="F117" s="39"/>
      <c r="G117" s="39"/>
      <c r="H117" s="39"/>
      <c r="I117" s="39"/>
      <c r="J117" s="39"/>
      <c r="K117" s="39"/>
      <c r="L117" s="39"/>
      <c r="M117" s="39"/>
      <c r="N117" s="39"/>
      <c r="O117" s="39"/>
      <c r="P117" s="39"/>
      <c r="Q117" s="32">
        <f>Q33</f>
        <v>7541.3347393364929</v>
      </c>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2">
        <f>(CH55+CH57)/2</f>
        <v>1930.4680680247561</v>
      </c>
      <c r="CI117" s="39"/>
      <c r="CJ117" s="39"/>
      <c r="CK117" s="32">
        <f>CK33</f>
        <v>95.335094786729854</v>
      </c>
      <c r="CL117" s="39"/>
      <c r="CM117" s="39"/>
      <c r="CN117" s="32">
        <f>CN55</f>
        <v>93.444404145077726</v>
      </c>
      <c r="CO117" s="39"/>
      <c r="CP117" s="114"/>
      <c r="CQ117" s="32">
        <f>CK117+CN117</f>
        <v>188.77949893180758</v>
      </c>
      <c r="CR117" s="114"/>
      <c r="CS117" s="114"/>
      <c r="CT117" s="39"/>
      <c r="CU117" s="39"/>
      <c r="CV117" s="39"/>
      <c r="CW117" s="39"/>
      <c r="CX117" s="39"/>
      <c r="CY117" s="39"/>
      <c r="CZ117" s="39"/>
      <c r="DA117" s="39"/>
      <c r="DB117" s="39"/>
      <c r="DC117" s="39"/>
      <c r="DD117" s="39"/>
      <c r="DE117" s="39"/>
      <c r="DF117" s="39"/>
      <c r="DG117" s="39"/>
      <c r="DH117" s="39"/>
      <c r="DI117" s="32">
        <f>(DI75+DI76)/2</f>
        <v>51511.178214639527</v>
      </c>
      <c r="DJ117" s="39"/>
      <c r="DK117" s="39"/>
      <c r="DL117" s="39"/>
      <c r="DM117" s="39"/>
      <c r="DN117" s="39"/>
      <c r="DO117" s="39"/>
      <c r="DP117" s="39"/>
      <c r="DQ117" s="39"/>
      <c r="DR117" s="39"/>
      <c r="DS117" s="39"/>
      <c r="DT117" s="39"/>
      <c r="DU117" s="32">
        <f>DU6</f>
        <v>1320.9629748200896</v>
      </c>
      <c r="DV117" s="39"/>
      <c r="DW117" s="39"/>
      <c r="DX117" s="39"/>
      <c r="DY117" s="39"/>
      <c r="DZ117" s="39"/>
      <c r="EA117" s="39"/>
      <c r="EB117" s="39"/>
      <c r="EC117" s="39"/>
      <c r="ED117" s="39"/>
      <c r="EE117" s="39"/>
      <c r="EF117" s="39"/>
      <c r="EG117" s="39"/>
      <c r="EH117" s="39"/>
      <c r="EI117" s="39"/>
      <c r="EJ117" s="39"/>
      <c r="EK117" s="39"/>
      <c r="EL117" s="39"/>
      <c r="EM117" s="32">
        <f>(EM33+EM75)/2</f>
        <v>3774.243403645331</v>
      </c>
      <c r="EN117" s="39"/>
      <c r="EO117" s="39"/>
      <c r="EP117" s="32">
        <f>EP9</f>
        <v>6670.2740740740728</v>
      </c>
      <c r="EQ117" s="39"/>
      <c r="ER117" s="39"/>
      <c r="ES117" s="32">
        <f>ES6</f>
        <v>6215.0468314424197</v>
      </c>
      <c r="ET117" s="39"/>
      <c r="EU117" s="39"/>
      <c r="EV117" s="32">
        <f>0</f>
        <v>0</v>
      </c>
      <c r="EW117" s="39"/>
      <c r="EX117" s="114"/>
      <c r="EY117" s="32">
        <f>EP117+ES117+EV117</f>
        <v>12885.320905516492</v>
      </c>
      <c r="EZ117" s="114"/>
      <c r="FA117" s="114"/>
      <c r="FB117" s="32">
        <f>(FB47+FB9)/2</f>
        <v>65775.169146591972</v>
      </c>
      <c r="FC117" s="39"/>
      <c r="FD117" s="39"/>
      <c r="FE117" s="32">
        <f>FE6</f>
        <v>170.48960126114636</v>
      </c>
      <c r="FF117" s="39"/>
      <c r="FG117" s="39"/>
      <c r="FH117" s="32">
        <f>FH9</f>
        <v>16591.055276381911</v>
      </c>
      <c r="FI117" s="39"/>
      <c r="FJ117" s="114"/>
      <c r="FK117" s="32">
        <f>FB117+FE117+FH117</f>
        <v>82536.714024235029</v>
      </c>
      <c r="FL117" s="114"/>
      <c r="FM117" s="114"/>
      <c r="FN117" s="32">
        <f>FN76</f>
        <v>2328.9834448749561</v>
      </c>
      <c r="FO117" s="39"/>
      <c r="FP117" s="39"/>
      <c r="FQ117" s="32">
        <f>FQ76</f>
        <v>13165.635317600094</v>
      </c>
      <c r="FR117" s="39"/>
      <c r="FS117" s="39"/>
      <c r="FT117" s="32">
        <f>0</f>
        <v>0</v>
      </c>
      <c r="FU117" s="114"/>
      <c r="FV117" s="116"/>
      <c r="FW117" s="32">
        <f t="shared" si="20"/>
        <v>15494.618762475049</v>
      </c>
      <c r="FX117" s="116"/>
      <c r="FY117" s="23"/>
      <c r="FZ117" s="32">
        <f>Q117+CH117+CK117+CN117</f>
        <v>9660.5823062930558</v>
      </c>
      <c r="GA117" s="32">
        <f>DI117+DU117+EM117+EP117+ES117+EV117+FB117+FE117+FH117+FN117+FQ117+FT117</f>
        <v>167523.03828533154</v>
      </c>
      <c r="GB117" s="32">
        <f>FZ117+GA117</f>
        <v>177183.62059162458</v>
      </c>
      <c r="GC117" s="23"/>
    </row>
    <row r="118" spans="1:185" s="83" customFormat="1" x14ac:dyDescent="0.3">
      <c r="A118" s="4"/>
      <c r="B118" s="23"/>
      <c r="C118" s="23"/>
      <c r="D118" s="23"/>
      <c r="E118" s="23"/>
      <c r="F118" s="31"/>
      <c r="G118" s="23"/>
      <c r="H118" s="23"/>
      <c r="I118" s="23"/>
      <c r="J118" s="23"/>
      <c r="K118" s="23"/>
      <c r="L118" s="23"/>
      <c r="M118" s="23"/>
      <c r="N118" s="23"/>
      <c r="O118" s="23"/>
      <c r="P118" s="23"/>
      <c r="Q118" s="31"/>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31"/>
      <c r="CI118" s="23"/>
      <c r="CJ118" s="23"/>
      <c r="CK118" s="31"/>
      <c r="CL118" s="23"/>
      <c r="CM118" s="23"/>
      <c r="CN118" s="31"/>
      <c r="CO118" s="23"/>
      <c r="CP118" s="23"/>
      <c r="CQ118" s="23"/>
      <c r="CR118" s="23"/>
      <c r="CS118" s="23"/>
      <c r="CT118" s="23"/>
      <c r="CU118" s="23"/>
      <c r="CV118" s="23"/>
      <c r="CW118" s="23"/>
      <c r="CX118" s="23"/>
      <c r="CY118" s="23"/>
      <c r="CZ118" s="23"/>
      <c r="DA118" s="23"/>
      <c r="DB118" s="23"/>
      <c r="DC118" s="23"/>
      <c r="DD118" s="23"/>
      <c r="DE118" s="23"/>
      <c r="DF118" s="23"/>
      <c r="DG118" s="23"/>
      <c r="DH118" s="23"/>
      <c r="DI118" s="31"/>
      <c r="DJ118" s="23"/>
      <c r="DK118" s="23"/>
      <c r="DL118" s="23"/>
      <c r="DM118" s="23"/>
      <c r="DN118" s="23"/>
      <c r="DO118" s="23"/>
      <c r="DP118" s="23"/>
      <c r="DQ118" s="23"/>
      <c r="DR118" s="23"/>
      <c r="DS118" s="23"/>
      <c r="DT118" s="23"/>
      <c r="DU118" s="31"/>
      <c r="DV118" s="23"/>
      <c r="DW118" s="23"/>
      <c r="DX118" s="23"/>
      <c r="DY118" s="23"/>
      <c r="DZ118" s="23"/>
      <c r="EA118" s="23"/>
      <c r="EB118" s="23"/>
      <c r="EC118" s="23"/>
      <c r="ED118" s="23"/>
      <c r="EE118" s="23"/>
      <c r="EF118" s="23"/>
      <c r="EG118" s="23"/>
      <c r="EH118" s="23"/>
      <c r="EI118" s="23"/>
      <c r="EJ118" s="23"/>
      <c r="EK118" s="23"/>
      <c r="EL118" s="23"/>
      <c r="EM118" s="31"/>
      <c r="EN118" s="23"/>
      <c r="EO118" s="23"/>
      <c r="EP118" s="31"/>
      <c r="EQ118" s="23"/>
      <c r="ER118" s="23"/>
      <c r="ES118" s="31"/>
      <c r="ET118" s="23"/>
      <c r="EU118" s="23"/>
      <c r="EV118" s="31"/>
      <c r="EW118" s="23"/>
      <c r="EX118" s="23"/>
      <c r="EY118" s="23"/>
      <c r="EZ118" s="23"/>
      <c r="FA118" s="23"/>
      <c r="FB118" s="31"/>
      <c r="FC118" s="23"/>
      <c r="FD118" s="23"/>
      <c r="FE118" s="31"/>
      <c r="FF118" s="23"/>
      <c r="FG118" s="23"/>
      <c r="FH118" s="31"/>
      <c r="FI118" s="23"/>
      <c r="FJ118" s="23"/>
      <c r="FK118" s="23"/>
      <c r="FL118" s="23"/>
      <c r="FM118" s="23"/>
      <c r="FN118" s="31"/>
      <c r="FO118" s="23"/>
      <c r="FP118" s="23"/>
      <c r="FQ118" s="31"/>
      <c r="FR118" s="23"/>
      <c r="FS118" s="23"/>
      <c r="FT118" s="31"/>
      <c r="FU118" s="31"/>
      <c r="FV118" s="31"/>
      <c r="FW118" s="31"/>
      <c r="FX118" s="31"/>
      <c r="FY118" s="23"/>
      <c r="FZ118" s="31"/>
      <c r="GA118" s="16" t="s">
        <v>190</v>
      </c>
      <c r="GB118" s="31"/>
      <c r="GC118" s="23"/>
    </row>
    <row r="119" spans="1:185" s="83" customFormat="1" x14ac:dyDescent="0.3">
      <c r="A119" s="4"/>
      <c r="B119" s="27"/>
      <c r="C119" s="27"/>
      <c r="D119" s="27"/>
      <c r="E119" s="27"/>
      <c r="F119" s="25"/>
      <c r="G119" s="27"/>
      <c r="H119" s="27"/>
      <c r="I119" s="27"/>
      <c r="J119" s="27"/>
      <c r="K119" s="27"/>
      <c r="L119" s="27"/>
      <c r="M119" s="27"/>
      <c r="N119" s="27"/>
      <c r="O119" s="27"/>
      <c r="P119" s="27"/>
      <c r="Q119" s="25"/>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5"/>
      <c r="CI119" s="27"/>
      <c r="CJ119" s="27"/>
      <c r="CK119" s="25"/>
      <c r="CL119" s="27"/>
      <c r="CM119" s="27"/>
      <c r="CN119" s="25"/>
      <c r="CO119" s="27"/>
      <c r="CP119" s="27"/>
      <c r="CQ119" s="27"/>
      <c r="CR119" s="27"/>
      <c r="CS119" s="27"/>
      <c r="CT119" s="27"/>
      <c r="CU119" s="27"/>
      <c r="CV119" s="27"/>
      <c r="CW119" s="27"/>
      <c r="CX119" s="27"/>
      <c r="CY119" s="27"/>
      <c r="CZ119" s="27"/>
      <c r="DA119" s="27"/>
      <c r="DB119" s="27"/>
      <c r="DC119" s="27"/>
      <c r="DD119" s="27"/>
      <c r="DE119" s="27"/>
      <c r="DF119" s="27"/>
      <c r="DG119" s="27"/>
      <c r="DH119" s="27"/>
      <c r="DI119" s="25"/>
      <c r="DJ119" s="27"/>
      <c r="DK119" s="27"/>
      <c r="DL119" s="27"/>
      <c r="DM119" s="27"/>
      <c r="DN119" s="27"/>
      <c r="DO119" s="27"/>
      <c r="DP119" s="27"/>
      <c r="DQ119" s="27"/>
      <c r="DR119" s="27"/>
      <c r="DS119" s="27"/>
      <c r="DT119" s="27"/>
      <c r="DU119" s="25"/>
      <c r="DV119" s="27"/>
      <c r="DW119" s="27"/>
      <c r="DX119" s="27"/>
      <c r="DY119" s="27"/>
      <c r="DZ119" s="27"/>
      <c r="EA119" s="27"/>
      <c r="EB119" s="27"/>
      <c r="EC119" s="27"/>
      <c r="ED119" s="27"/>
      <c r="EE119" s="27"/>
      <c r="EF119" s="27"/>
      <c r="EG119" s="27"/>
      <c r="EH119" s="27"/>
      <c r="EI119" s="27"/>
      <c r="EJ119" s="27"/>
      <c r="EK119" s="27"/>
      <c r="EL119" s="27"/>
      <c r="EM119" s="25"/>
      <c r="EN119" s="27"/>
      <c r="EO119" s="27"/>
      <c r="EP119" s="25"/>
      <c r="EQ119" s="27"/>
      <c r="ER119" s="27"/>
      <c r="ES119" s="25"/>
      <c r="ET119" s="27"/>
      <c r="EU119" s="27"/>
      <c r="EV119" s="25"/>
      <c r="EW119" s="27"/>
      <c r="EX119" s="27"/>
      <c r="EY119" s="27"/>
      <c r="EZ119" s="27"/>
      <c r="FA119" s="27"/>
      <c r="FB119" s="25"/>
      <c r="FC119" s="27"/>
      <c r="FD119" s="27"/>
      <c r="FE119" s="25"/>
      <c r="FF119" s="27"/>
      <c r="FG119" s="27"/>
      <c r="FH119" s="25"/>
      <c r="FI119" s="27"/>
      <c r="FJ119" s="27"/>
      <c r="FK119" s="27"/>
      <c r="FL119" s="27"/>
      <c r="FM119" s="27"/>
      <c r="FN119" s="25"/>
      <c r="FO119" s="27"/>
      <c r="FP119" s="27"/>
      <c r="FQ119" s="25"/>
      <c r="FR119" s="27"/>
      <c r="FS119" s="27"/>
      <c r="FT119" s="25"/>
      <c r="FU119" s="25"/>
      <c r="FV119" s="25"/>
      <c r="FW119" s="25"/>
      <c r="FX119" s="25"/>
      <c r="FY119" s="27"/>
      <c r="FZ119" s="47" t="s">
        <v>145</v>
      </c>
      <c r="GA119" s="47" t="s">
        <v>146</v>
      </c>
      <c r="GB119" s="47" t="s">
        <v>147</v>
      </c>
      <c r="GC119" s="23"/>
    </row>
    <row r="120" spans="1:185" s="83" customFormat="1" x14ac:dyDescent="0.3">
      <c r="A120" s="4"/>
      <c r="B120" s="75"/>
      <c r="C120" s="94"/>
      <c r="D120" s="75" t="s">
        <v>128</v>
      </c>
      <c r="E120" s="75">
        <v>2</v>
      </c>
      <c r="F120" s="75"/>
      <c r="G120" s="75"/>
      <c r="H120" s="75"/>
      <c r="I120" s="75"/>
      <c r="J120" s="75"/>
      <c r="K120" s="75"/>
      <c r="L120" s="75"/>
      <c r="M120" s="75"/>
      <c r="N120" s="75"/>
      <c r="O120" s="75"/>
      <c r="P120" s="75"/>
      <c r="Q120" s="32">
        <f>(Q33+Q66+Q67+Q75+Q76)/5</f>
        <v>13586.197353146632</v>
      </c>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c r="CH120" s="32">
        <f>(CH41+CH42+CH48)/3</f>
        <v>1129.5746359389052</v>
      </c>
      <c r="CI120" s="75"/>
      <c r="CJ120" s="75"/>
      <c r="CK120" s="32">
        <f>CK33</f>
        <v>95.335094786729854</v>
      </c>
      <c r="CL120" s="75"/>
      <c r="CM120" s="75"/>
      <c r="CN120" s="32">
        <f>(CN47+CN48)/2</f>
        <v>40.298288009888758</v>
      </c>
      <c r="CO120" s="75"/>
      <c r="CP120" s="114"/>
      <c r="CQ120" s="32">
        <f>CK120+CN120</f>
        <v>135.6333827966186</v>
      </c>
      <c r="CR120" s="114"/>
      <c r="CS120" s="114"/>
      <c r="CT120" s="75"/>
      <c r="CU120" s="75"/>
      <c r="CV120" s="75"/>
      <c r="CW120" s="75"/>
      <c r="CX120" s="75"/>
      <c r="CY120" s="75"/>
      <c r="CZ120" s="75"/>
      <c r="DA120" s="75"/>
      <c r="DB120" s="75"/>
      <c r="DC120" s="75"/>
      <c r="DD120" s="75"/>
      <c r="DE120" s="75"/>
      <c r="DF120" s="75"/>
      <c r="DG120" s="75"/>
      <c r="DH120" s="75"/>
      <c r="DI120" s="32">
        <f>DI15*Prop_req_accom</f>
        <v>81636.445973597351</v>
      </c>
      <c r="DJ120" s="75"/>
      <c r="DK120" s="75"/>
      <c r="DL120" s="75"/>
      <c r="DM120" s="75"/>
      <c r="DN120" s="75"/>
      <c r="DO120" s="75"/>
      <c r="DP120" s="75"/>
      <c r="DQ120" s="75"/>
      <c r="DR120" s="75"/>
      <c r="DS120" s="75"/>
      <c r="DT120" s="75"/>
      <c r="DU120" s="32">
        <f>(DU6+DU33+DU75)/3</f>
        <v>2988.8185132684316</v>
      </c>
      <c r="DV120" s="75"/>
      <c r="DW120" s="75"/>
      <c r="DX120" s="75"/>
      <c r="DY120" s="75"/>
      <c r="DZ120" s="75"/>
      <c r="EA120" s="75"/>
      <c r="EB120" s="75"/>
      <c r="EC120" s="75"/>
      <c r="ED120" s="75"/>
      <c r="EE120" s="75"/>
      <c r="EF120" s="75"/>
      <c r="EG120" s="75"/>
      <c r="EH120" s="75"/>
      <c r="EI120" s="75"/>
      <c r="EJ120" s="75"/>
      <c r="EK120" s="75"/>
      <c r="EL120" s="75"/>
      <c r="EM120" s="32">
        <f>(EM26+EM33+EM75+EM76)/4</f>
        <v>8567.1201977703186</v>
      </c>
      <c r="EN120" s="75"/>
      <c r="EO120" s="75"/>
      <c r="EP120" s="32">
        <f>(EP7+EP33+EP75)/3</f>
        <v>7517.6317448200643</v>
      </c>
      <c r="EQ120" s="75"/>
      <c r="ER120" s="75"/>
      <c r="ES120" s="32">
        <f>ES6</f>
        <v>6215.0468314424197</v>
      </c>
      <c r="ET120" s="75"/>
      <c r="EU120" s="75"/>
      <c r="EV120" s="32">
        <f>(EV33+EV75+EV76)/3</f>
        <v>577.00967320820553</v>
      </c>
      <c r="EW120" s="75"/>
      <c r="EX120" s="114"/>
      <c r="EY120" s="32">
        <f>EP120+ES120+EV120</f>
        <v>14309.68824947069</v>
      </c>
      <c r="EZ120" s="114"/>
      <c r="FA120" s="114"/>
      <c r="FB120" s="32">
        <f>FB7</f>
        <v>63370.591285403039</v>
      </c>
      <c r="FC120" s="75"/>
      <c r="FD120" s="75"/>
      <c r="FE120" s="32">
        <f>FE6</f>
        <v>170.48960126114636</v>
      </c>
      <c r="FF120" s="75"/>
      <c r="FG120" s="75"/>
      <c r="FH120" s="32">
        <f>FH7</f>
        <v>14199.535175879397</v>
      </c>
      <c r="FI120" s="75"/>
      <c r="FJ120" s="114"/>
      <c r="FK120" s="32">
        <f>FB120+FE120+FH120</f>
        <v>77740.616062543588</v>
      </c>
      <c r="FL120" s="114"/>
      <c r="FM120" s="114"/>
      <c r="FN120" s="32">
        <f>(FN33+FN75+FN76)/3</f>
        <v>2245.1434816249853</v>
      </c>
      <c r="FO120" s="75"/>
      <c r="FP120" s="75"/>
      <c r="FQ120" s="32">
        <f>(FQ33+FQ75+FQ76)/3</f>
        <v>29892.205248723843</v>
      </c>
      <c r="FR120" s="75"/>
      <c r="FS120" s="75"/>
      <c r="FT120" s="32">
        <f>0</f>
        <v>0</v>
      </c>
      <c r="FU120" s="114"/>
      <c r="FV120" s="116"/>
      <c r="FW120" s="32">
        <f>FN120+FQ120+FT120</f>
        <v>32137.348730348829</v>
      </c>
      <c r="FX120" s="116"/>
      <c r="FY120" s="23"/>
      <c r="FZ120" s="32">
        <f>Q120+CH120+CK120+CN120</f>
        <v>14851.405371882154</v>
      </c>
      <c r="GA120" s="32">
        <f>DI120+DU120+EM120+EP120+ES120+EV120+FB120+FE120+FH120+FN120+FQ120+FT120</f>
        <v>217380.0377269992</v>
      </c>
      <c r="GB120" s="32">
        <f>FZ120+GA120</f>
        <v>232231.44309888137</v>
      </c>
      <c r="GC120" s="23"/>
    </row>
    <row r="121" spans="1:185" s="83" customFormat="1" x14ac:dyDescent="0.3">
      <c r="A121" s="4"/>
      <c r="B121" s="75"/>
      <c r="C121" s="94"/>
      <c r="D121" s="75" t="s">
        <v>127</v>
      </c>
      <c r="E121" s="75">
        <v>2</v>
      </c>
      <c r="F121" s="75"/>
      <c r="G121" s="75"/>
      <c r="H121" s="75"/>
      <c r="I121" s="75"/>
      <c r="J121" s="75"/>
      <c r="K121" s="75"/>
      <c r="L121" s="75"/>
      <c r="M121" s="75"/>
      <c r="N121" s="75"/>
      <c r="O121" s="75"/>
      <c r="P121" s="75"/>
      <c r="Q121" s="32">
        <f>(Q33+Q66+Q67+Q75+Q76)/5</f>
        <v>13586.197353146632</v>
      </c>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32">
        <f>(CH41+CH42+CH48)/3</f>
        <v>1129.5746359389052</v>
      </c>
      <c r="CI121" s="75"/>
      <c r="CJ121" s="75"/>
      <c r="CK121" s="32">
        <f>CK33</f>
        <v>95.335094786729854</v>
      </c>
      <c r="CL121" s="75"/>
      <c r="CM121" s="75"/>
      <c r="CN121" s="32">
        <f>(CN47+CN48)/2</f>
        <v>40.298288009888758</v>
      </c>
      <c r="CO121" s="75"/>
      <c r="CP121" s="114"/>
      <c r="CQ121" s="32">
        <f>CK121+CN121</f>
        <v>135.6333827966186</v>
      </c>
      <c r="CR121" s="114"/>
      <c r="CS121" s="114"/>
      <c r="CT121" s="75"/>
      <c r="CU121" s="75"/>
      <c r="CV121" s="75"/>
      <c r="CW121" s="75"/>
      <c r="CX121" s="75"/>
      <c r="CY121" s="75"/>
      <c r="CZ121" s="75"/>
      <c r="DA121" s="75"/>
      <c r="DB121" s="75"/>
      <c r="DC121" s="75"/>
      <c r="DD121" s="75"/>
      <c r="DE121" s="75"/>
      <c r="DF121" s="75"/>
      <c r="DG121" s="75"/>
      <c r="DH121" s="75"/>
      <c r="DI121" s="32">
        <f>DI15*Prop_req_accom</f>
        <v>81636.445973597351</v>
      </c>
      <c r="DJ121" s="75"/>
      <c r="DK121" s="75"/>
      <c r="DL121" s="75"/>
      <c r="DM121" s="75"/>
      <c r="DN121" s="75"/>
      <c r="DO121" s="75"/>
      <c r="DP121" s="75"/>
      <c r="DQ121" s="75"/>
      <c r="DR121" s="75"/>
      <c r="DS121" s="75"/>
      <c r="DT121" s="75"/>
      <c r="DU121" s="32">
        <f>(DU6+DU33+DU75)/3</f>
        <v>2988.8185132684316</v>
      </c>
      <c r="DV121" s="75"/>
      <c r="DW121" s="75"/>
      <c r="DX121" s="75"/>
      <c r="DY121" s="75"/>
      <c r="DZ121" s="75"/>
      <c r="EA121" s="75"/>
      <c r="EB121" s="75"/>
      <c r="EC121" s="75"/>
      <c r="ED121" s="75"/>
      <c r="EE121" s="75"/>
      <c r="EF121" s="75"/>
      <c r="EG121" s="75"/>
      <c r="EH121" s="75"/>
      <c r="EI121" s="75"/>
      <c r="EJ121" s="75"/>
      <c r="EK121" s="75"/>
      <c r="EL121" s="75"/>
      <c r="EM121" s="32">
        <f>(EM26+EM33+EM75+EM76)/4</f>
        <v>8567.1201977703186</v>
      </c>
      <c r="EN121" s="75"/>
      <c r="EO121" s="75"/>
      <c r="EP121" s="32">
        <f>(EP8+EP33+EP75)/3</f>
        <v>7121.8895704948636</v>
      </c>
      <c r="EQ121" s="75"/>
      <c r="ER121" s="75"/>
      <c r="ES121" s="32">
        <f>ES6</f>
        <v>6215.0468314424197</v>
      </c>
      <c r="ET121" s="75"/>
      <c r="EU121" s="75"/>
      <c r="EV121" s="32">
        <f>(EV33+EV75+EV76)/3</f>
        <v>577.00967320820553</v>
      </c>
      <c r="EW121" s="75"/>
      <c r="EX121" s="114"/>
      <c r="EY121" s="32">
        <f>EP121+ES121+EV121</f>
        <v>13913.94607514549</v>
      </c>
      <c r="EZ121" s="114"/>
      <c r="FA121" s="114"/>
      <c r="FB121" s="32">
        <f>FB8</f>
        <v>75259.174727668826</v>
      </c>
      <c r="FC121" s="75"/>
      <c r="FD121" s="75"/>
      <c r="FE121" s="32">
        <f>FE6</f>
        <v>170.48960126114636</v>
      </c>
      <c r="FF121" s="75"/>
      <c r="FG121" s="75"/>
      <c r="FH121" s="32">
        <f>FH8</f>
        <v>23145.11306532663</v>
      </c>
      <c r="FI121" s="75"/>
      <c r="FJ121" s="114"/>
      <c r="FK121" s="32">
        <f>FB126+FE126+FH126</f>
        <v>101104.84945899362</v>
      </c>
      <c r="FL121" s="114"/>
      <c r="FM121" s="114"/>
      <c r="FN121" s="32">
        <f>(FN33+FN75+FN76)/3</f>
        <v>2245.1434816249853</v>
      </c>
      <c r="FO121" s="75"/>
      <c r="FP121" s="75"/>
      <c r="FQ121" s="32">
        <f>(FQ33+FQ75+FQ76)/3</f>
        <v>29892.205248723843</v>
      </c>
      <c r="FR121" s="75"/>
      <c r="FS121" s="75"/>
      <c r="FT121" s="32">
        <f>0</f>
        <v>0</v>
      </c>
      <c r="FU121" s="114"/>
      <c r="FV121" s="116"/>
      <c r="FW121" s="32">
        <f t="shared" ref="FW121:FW122" si="21">FN121+FQ121+FT121</f>
        <v>32137.348730348829</v>
      </c>
      <c r="FX121" s="116"/>
      <c r="FY121" s="23"/>
      <c r="FZ121" s="32">
        <f>Q121+CH121+CK121+CN121</f>
        <v>14851.405371882154</v>
      </c>
      <c r="GA121" s="32">
        <f>DI121+DU121+EM121+EP121+ES121+EV121+FB121+FE121+FH121+FN121+FQ121+FT121</f>
        <v>237818.45688438704</v>
      </c>
      <c r="GB121" s="32">
        <f>FZ121+GA121</f>
        <v>252669.8622562692</v>
      </c>
      <c r="GC121" s="23"/>
    </row>
    <row r="122" spans="1:185" s="83" customFormat="1" x14ac:dyDescent="0.3">
      <c r="A122" s="4"/>
      <c r="B122" s="75"/>
      <c r="C122" s="94"/>
      <c r="D122" s="75" t="s">
        <v>124</v>
      </c>
      <c r="E122" s="75">
        <v>2</v>
      </c>
      <c r="F122" s="75"/>
      <c r="G122" s="75"/>
      <c r="H122" s="75"/>
      <c r="I122" s="75"/>
      <c r="J122" s="75"/>
      <c r="K122" s="75"/>
      <c r="L122" s="75"/>
      <c r="M122" s="75"/>
      <c r="N122" s="75"/>
      <c r="O122" s="75"/>
      <c r="P122" s="75"/>
      <c r="Q122" s="32">
        <f>(Q33+Q66+Q67+Q75+Q76)/5</f>
        <v>13586.197353146632</v>
      </c>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32">
        <f>(CH22+CH54+CH55+CH57)/4</f>
        <v>2966.2683430620486</v>
      </c>
      <c r="CI122" s="75"/>
      <c r="CJ122" s="75"/>
      <c r="CK122" s="32">
        <f>CK33</f>
        <v>95.335094786729854</v>
      </c>
      <c r="CL122" s="75"/>
      <c r="CM122" s="75"/>
      <c r="CN122" s="32">
        <f>(CN54+CN55)/2</f>
        <v>186.88880829015545</v>
      </c>
      <c r="CO122" s="75"/>
      <c r="CP122" s="114"/>
      <c r="CQ122" s="32">
        <f>CK122+CN122</f>
        <v>282.22390307688534</v>
      </c>
      <c r="CR122" s="114"/>
      <c r="CS122" s="114"/>
      <c r="CT122" s="75"/>
      <c r="CU122" s="75"/>
      <c r="CV122" s="75"/>
      <c r="CW122" s="75"/>
      <c r="CX122" s="75"/>
      <c r="CY122" s="75"/>
      <c r="CZ122" s="75"/>
      <c r="DA122" s="75"/>
      <c r="DB122" s="75"/>
      <c r="DC122" s="75"/>
      <c r="DD122" s="75"/>
      <c r="DE122" s="75"/>
      <c r="DF122" s="75"/>
      <c r="DG122" s="75"/>
      <c r="DH122" s="75"/>
      <c r="DI122" s="32">
        <f>(DI34*Prop_priv_accom)+(DI35*Prop_supported)+(DI36*Prop_residential)+(DI37*(Prop_hosp+Prop_Not_stated))</f>
        <v>91881.62535821092</v>
      </c>
      <c r="DJ122" s="75"/>
      <c r="DK122" s="75"/>
      <c r="DL122" s="75"/>
      <c r="DM122" s="75"/>
      <c r="DN122" s="75"/>
      <c r="DO122" s="75"/>
      <c r="DP122" s="75"/>
      <c r="DQ122" s="75"/>
      <c r="DR122" s="75"/>
      <c r="DS122" s="75"/>
      <c r="DT122" s="75"/>
      <c r="DU122" s="32">
        <f>(DU6+DU33+DU75)/3</f>
        <v>2988.8185132684316</v>
      </c>
      <c r="DV122" s="75"/>
      <c r="DW122" s="75"/>
      <c r="DX122" s="75"/>
      <c r="DY122" s="75"/>
      <c r="DZ122" s="75"/>
      <c r="EA122" s="75"/>
      <c r="EB122" s="75"/>
      <c r="EC122" s="75"/>
      <c r="ED122" s="75"/>
      <c r="EE122" s="75"/>
      <c r="EF122" s="75"/>
      <c r="EG122" s="75"/>
      <c r="EH122" s="75"/>
      <c r="EI122" s="75"/>
      <c r="EJ122" s="75"/>
      <c r="EK122" s="75"/>
      <c r="EL122" s="75"/>
      <c r="EM122" s="32">
        <f>(EM26+EM33+EM75+EM76)/4</f>
        <v>8567.1201977703186</v>
      </c>
      <c r="EN122" s="75"/>
      <c r="EO122" s="75"/>
      <c r="EP122" s="32">
        <f>(EP9+EP33+EP75)/3</f>
        <v>7863.4737389770717</v>
      </c>
      <c r="EQ122" s="75"/>
      <c r="ER122" s="75"/>
      <c r="ES122" s="32">
        <f>ES6</f>
        <v>6215.0468314424197</v>
      </c>
      <c r="ET122" s="75"/>
      <c r="EU122" s="75"/>
      <c r="EV122" s="32">
        <f>(EV33+EV75+EV76)/3</f>
        <v>577.00967320820553</v>
      </c>
      <c r="EW122" s="75"/>
      <c r="EX122" s="114"/>
      <c r="EY122" s="32">
        <f>EP122+ES122+EV122</f>
        <v>14655.530243627698</v>
      </c>
      <c r="EZ122" s="114"/>
      <c r="FA122" s="114"/>
      <c r="FB122" s="32">
        <f>(FB9+FB48)/2</f>
        <v>92436.364003734823</v>
      </c>
      <c r="FC122" s="75"/>
      <c r="FD122" s="75"/>
      <c r="FE122" s="32">
        <f>FE6</f>
        <v>170.48960126114636</v>
      </c>
      <c r="FF122" s="75"/>
      <c r="FG122" s="75"/>
      <c r="FH122" s="32">
        <f>FH9</f>
        <v>16591.055276381911</v>
      </c>
      <c r="FI122" s="75"/>
      <c r="FJ122" s="114"/>
      <c r="FK122" s="32">
        <f>FB122+FE122+FH122</f>
        <v>109197.90888137788</v>
      </c>
      <c r="FL122" s="114"/>
      <c r="FM122" s="114"/>
      <c r="FN122" s="32">
        <f>(FN33+FN75+FN76)/3</f>
        <v>2245.1434816249853</v>
      </c>
      <c r="FO122" s="75"/>
      <c r="FP122" s="75"/>
      <c r="FQ122" s="32">
        <f>(FQ33+FQ75+FQ76)/3</f>
        <v>29892.205248723843</v>
      </c>
      <c r="FR122" s="75"/>
      <c r="FS122" s="75"/>
      <c r="FT122" s="32">
        <f>0</f>
        <v>0</v>
      </c>
      <c r="FU122" s="114"/>
      <c r="FV122" s="116"/>
      <c r="FW122" s="32">
        <f t="shared" si="21"/>
        <v>32137.348730348829</v>
      </c>
      <c r="FX122" s="116"/>
      <c r="FY122" s="23"/>
      <c r="FZ122" s="32">
        <f>Q122+CH122+CK122+CN122</f>
        <v>16834.689599285564</v>
      </c>
      <c r="GA122" s="32">
        <f>DI122+DU122+EM122+EP122+ES122+EV122+FB122+FE122+FH122+FN122+FQ122+FT122</f>
        <v>259428.35192460407</v>
      </c>
      <c r="GB122" s="32">
        <f>FZ122+GA122</f>
        <v>276263.04152388964</v>
      </c>
      <c r="GC122" s="23"/>
    </row>
    <row r="123" spans="1:185" s="83" customFormat="1" x14ac:dyDescent="0.3">
      <c r="A123" s="4"/>
      <c r="B123" s="23"/>
      <c r="C123" s="23"/>
      <c r="D123" s="23"/>
      <c r="E123" s="23"/>
      <c r="F123" s="23"/>
      <c r="G123" s="23"/>
      <c r="H123" s="23"/>
      <c r="I123" s="23"/>
      <c r="J123" s="23"/>
      <c r="K123" s="23"/>
      <c r="L123" s="23"/>
      <c r="M123" s="23"/>
      <c r="N123" s="23"/>
      <c r="O123" s="23"/>
      <c r="P123" s="23"/>
      <c r="Q123" s="31"/>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31"/>
      <c r="CI123" s="23"/>
      <c r="CJ123" s="23"/>
      <c r="CK123" s="31"/>
      <c r="CL123" s="23"/>
      <c r="CM123" s="23"/>
      <c r="CN123" s="31"/>
      <c r="CO123" s="23"/>
      <c r="CP123" s="23"/>
      <c r="CQ123" s="23"/>
      <c r="CR123" s="23"/>
      <c r="CS123" s="23"/>
      <c r="CT123" s="23"/>
      <c r="CU123" s="23"/>
      <c r="CV123" s="23"/>
      <c r="CW123" s="23"/>
      <c r="CX123" s="23"/>
      <c r="CY123" s="23"/>
      <c r="CZ123" s="23"/>
      <c r="DA123" s="23"/>
      <c r="DB123" s="23"/>
      <c r="DC123" s="23"/>
      <c r="DD123" s="23"/>
      <c r="DE123" s="23"/>
      <c r="DF123" s="23"/>
      <c r="DG123" s="23"/>
      <c r="DH123" s="23"/>
      <c r="DI123" s="31"/>
      <c r="DJ123" s="23"/>
      <c r="DK123" s="23"/>
      <c r="DL123" s="23"/>
      <c r="DM123" s="23"/>
      <c r="DN123" s="23"/>
      <c r="DO123" s="23"/>
      <c r="DP123" s="23"/>
      <c r="DQ123" s="23"/>
      <c r="DR123" s="23"/>
      <c r="DS123" s="23"/>
      <c r="DT123" s="23"/>
      <c r="DU123" s="31"/>
      <c r="DV123" s="23"/>
      <c r="DW123" s="23"/>
      <c r="DX123" s="23"/>
      <c r="DY123" s="23"/>
      <c r="DZ123" s="23"/>
      <c r="EA123" s="23"/>
      <c r="EB123" s="23"/>
      <c r="EC123" s="23"/>
      <c r="ED123" s="23"/>
      <c r="EE123" s="23"/>
      <c r="EF123" s="23"/>
      <c r="EG123" s="23"/>
      <c r="EH123" s="23"/>
      <c r="EI123" s="23"/>
      <c r="EJ123" s="23"/>
      <c r="EK123" s="23"/>
      <c r="EL123" s="23"/>
      <c r="EM123" s="31"/>
      <c r="EN123" s="23"/>
      <c r="EO123" s="23"/>
      <c r="EP123" s="31"/>
      <c r="EQ123" s="23"/>
      <c r="ER123" s="23"/>
      <c r="ES123" s="31"/>
      <c r="ET123" s="23"/>
      <c r="EU123" s="23"/>
      <c r="EV123" s="31"/>
      <c r="EW123" s="23"/>
      <c r="EX123" s="23"/>
      <c r="EY123" s="23"/>
      <c r="EZ123" s="23"/>
      <c r="FA123" s="23"/>
      <c r="FB123" s="31"/>
      <c r="FC123" s="23"/>
      <c r="FD123" s="23"/>
      <c r="FE123" s="31"/>
      <c r="FF123" s="23"/>
      <c r="FG123" s="23"/>
      <c r="FH123" s="31"/>
      <c r="FI123" s="23"/>
      <c r="FJ123" s="23"/>
      <c r="FK123" s="23"/>
      <c r="FL123" s="23"/>
      <c r="FM123" s="23"/>
      <c r="FN123" s="31"/>
      <c r="FO123" s="23"/>
      <c r="FP123" s="23"/>
      <c r="FQ123" s="31"/>
      <c r="FR123" s="23"/>
      <c r="FS123" s="23"/>
      <c r="FT123" s="31"/>
      <c r="FU123" s="31"/>
      <c r="FV123" s="31"/>
      <c r="FW123" s="31"/>
      <c r="FX123" s="31"/>
      <c r="FY123" s="23"/>
      <c r="FZ123" s="31"/>
      <c r="GA123" s="16" t="s">
        <v>191</v>
      </c>
      <c r="GB123" s="31"/>
      <c r="GC123" s="23"/>
    </row>
    <row r="124" spans="1:185" s="83" customFormat="1" x14ac:dyDescent="0.3">
      <c r="A124" s="4"/>
      <c r="B124" s="27"/>
      <c r="C124" s="27"/>
      <c r="D124" s="27"/>
      <c r="E124" s="27"/>
      <c r="F124" s="27"/>
      <c r="G124" s="27"/>
      <c r="H124" s="27"/>
      <c r="I124" s="27"/>
      <c r="J124" s="27"/>
      <c r="K124" s="27"/>
      <c r="L124" s="27"/>
      <c r="M124" s="27"/>
      <c r="N124" s="27"/>
      <c r="O124" s="27"/>
      <c r="P124" s="27"/>
      <c r="Q124" s="25"/>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5"/>
      <c r="CI124" s="27"/>
      <c r="CJ124" s="27"/>
      <c r="CK124" s="25"/>
      <c r="CL124" s="27"/>
      <c r="CM124" s="27"/>
      <c r="CN124" s="25"/>
      <c r="CO124" s="27"/>
      <c r="CP124" s="27"/>
      <c r="CQ124" s="27"/>
      <c r="CR124" s="27"/>
      <c r="CS124" s="27"/>
      <c r="CT124" s="27"/>
      <c r="CU124" s="27"/>
      <c r="CV124" s="27"/>
      <c r="CW124" s="27"/>
      <c r="CX124" s="27"/>
      <c r="CY124" s="27"/>
      <c r="CZ124" s="27"/>
      <c r="DA124" s="27"/>
      <c r="DB124" s="27"/>
      <c r="DC124" s="27"/>
      <c r="DD124" s="27"/>
      <c r="DE124" s="27"/>
      <c r="DF124" s="27"/>
      <c r="DG124" s="27"/>
      <c r="DH124" s="27"/>
      <c r="DI124" s="25"/>
      <c r="DJ124" s="27"/>
      <c r="DK124" s="27"/>
      <c r="DL124" s="27"/>
      <c r="DM124" s="27"/>
      <c r="DN124" s="27"/>
      <c r="DO124" s="27"/>
      <c r="DP124" s="27"/>
      <c r="DQ124" s="27"/>
      <c r="DR124" s="27"/>
      <c r="DS124" s="27"/>
      <c r="DT124" s="27"/>
      <c r="DU124" s="25"/>
      <c r="DV124" s="27"/>
      <c r="DW124" s="27"/>
      <c r="DX124" s="27"/>
      <c r="DY124" s="27"/>
      <c r="DZ124" s="27"/>
      <c r="EA124" s="27"/>
      <c r="EB124" s="27"/>
      <c r="EC124" s="27"/>
      <c r="ED124" s="27"/>
      <c r="EE124" s="27"/>
      <c r="EF124" s="27"/>
      <c r="EG124" s="27"/>
      <c r="EH124" s="27"/>
      <c r="EI124" s="27"/>
      <c r="EJ124" s="27"/>
      <c r="EK124" s="27"/>
      <c r="EL124" s="27"/>
      <c r="EM124" s="25"/>
      <c r="EN124" s="27"/>
      <c r="EO124" s="27"/>
      <c r="EP124" s="25"/>
      <c r="EQ124" s="27"/>
      <c r="ER124" s="27"/>
      <c r="ES124" s="25"/>
      <c r="ET124" s="27"/>
      <c r="EU124" s="27"/>
      <c r="EV124" s="25"/>
      <c r="EW124" s="27"/>
      <c r="EX124" s="27"/>
      <c r="EY124" s="27"/>
      <c r="EZ124" s="27"/>
      <c r="FA124" s="27"/>
      <c r="FB124" s="25"/>
      <c r="FC124" s="27"/>
      <c r="FD124" s="27"/>
      <c r="FE124" s="25"/>
      <c r="FF124" s="27"/>
      <c r="FG124" s="27"/>
      <c r="FH124" s="25"/>
      <c r="FI124" s="27"/>
      <c r="FJ124" s="27"/>
      <c r="FK124" s="27"/>
      <c r="FL124" s="27"/>
      <c r="FM124" s="27"/>
      <c r="FN124" s="25"/>
      <c r="FO124" s="27"/>
      <c r="FP124" s="27"/>
      <c r="FQ124" s="25"/>
      <c r="FR124" s="27"/>
      <c r="FS124" s="27"/>
      <c r="FT124" s="25"/>
      <c r="FU124" s="25"/>
      <c r="FV124" s="25"/>
      <c r="FW124" s="25"/>
      <c r="FX124" s="25"/>
      <c r="FY124" s="27"/>
      <c r="FZ124" s="47" t="s">
        <v>145</v>
      </c>
      <c r="GA124" s="47" t="s">
        <v>146</v>
      </c>
      <c r="GB124" s="47" t="s">
        <v>147</v>
      </c>
      <c r="GC124" s="23"/>
    </row>
    <row r="125" spans="1:185" s="83" customFormat="1" x14ac:dyDescent="0.3">
      <c r="A125" s="4"/>
      <c r="B125" s="75"/>
      <c r="C125" s="94"/>
      <c r="D125" s="75" t="s">
        <v>128</v>
      </c>
      <c r="E125" s="75">
        <v>2</v>
      </c>
      <c r="F125" s="75"/>
      <c r="G125" s="75"/>
      <c r="H125" s="75"/>
      <c r="I125" s="75"/>
      <c r="J125" s="75"/>
      <c r="K125" s="75"/>
      <c r="L125" s="75"/>
      <c r="M125" s="75"/>
      <c r="N125" s="75"/>
      <c r="O125" s="75"/>
      <c r="P125" s="75"/>
      <c r="Q125" s="32">
        <f>Q76</f>
        <v>31076.44456404736</v>
      </c>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32">
        <f>CH44</f>
        <v>2110.2906403940888</v>
      </c>
      <c r="CI125" s="75"/>
      <c r="CJ125" s="75"/>
      <c r="CK125" s="32">
        <f>CK33</f>
        <v>95.335094786729854</v>
      </c>
      <c r="CL125" s="75"/>
      <c r="CM125" s="75"/>
      <c r="CN125" s="32">
        <f>CN47</f>
        <v>54.874264524103836</v>
      </c>
      <c r="CO125" s="75"/>
      <c r="CP125" s="114"/>
      <c r="CQ125" s="32">
        <f>CK125+CN125</f>
        <v>150.20935931083369</v>
      </c>
      <c r="CR125" s="114"/>
      <c r="CS125" s="114"/>
      <c r="CT125" s="75"/>
      <c r="CU125" s="75"/>
      <c r="CV125" s="75"/>
      <c r="CW125" s="75"/>
      <c r="CX125" s="75"/>
      <c r="CY125" s="75"/>
      <c r="CZ125" s="75"/>
      <c r="DA125" s="75"/>
      <c r="DB125" s="75"/>
      <c r="DC125" s="75"/>
      <c r="DD125" s="75"/>
      <c r="DE125" s="75"/>
      <c r="DF125" s="75"/>
      <c r="DG125" s="75"/>
      <c r="DH125" s="75"/>
      <c r="DI125" s="32">
        <f>(DI34*(Prop_priv_accom+Prop_Not_stated))+(DI35*Prop_supported)+(DI36*Prop_residential)+(DI37*Prop_hosp)</f>
        <v>86334.799424324665</v>
      </c>
      <c r="DJ125" s="75"/>
      <c r="DK125" s="75"/>
      <c r="DL125" s="75"/>
      <c r="DM125" s="75"/>
      <c r="DN125" s="75"/>
      <c r="DO125" s="75"/>
      <c r="DP125" s="75"/>
      <c r="DQ125" s="75"/>
      <c r="DR125" s="75"/>
      <c r="DS125" s="75"/>
      <c r="DT125" s="75"/>
      <c r="DU125" s="32">
        <f>DU33</f>
        <v>3757.5177014218011</v>
      </c>
      <c r="DV125" s="75"/>
      <c r="DW125" s="75"/>
      <c r="DX125" s="75"/>
      <c r="DY125" s="75"/>
      <c r="DZ125" s="75"/>
      <c r="EA125" s="75"/>
      <c r="EB125" s="75"/>
      <c r="EC125" s="75"/>
      <c r="ED125" s="75"/>
      <c r="EE125" s="75"/>
      <c r="EF125" s="75"/>
      <c r="EG125" s="75"/>
      <c r="EH125" s="75"/>
      <c r="EI125" s="75"/>
      <c r="EJ125" s="75"/>
      <c r="EK125" s="75"/>
      <c r="EL125" s="75"/>
      <c r="EM125" s="32">
        <f>(EM26+EM76)/2</f>
        <v>13359.996991895305</v>
      </c>
      <c r="EN125" s="75"/>
      <c r="EO125" s="75"/>
      <c r="EP125" s="32">
        <f>(EP33+EP75)/2</f>
        <v>8460.0735714285711</v>
      </c>
      <c r="EQ125" s="75"/>
      <c r="ER125" s="75"/>
      <c r="ES125" s="32">
        <f>ES6</f>
        <v>6215.0468314424197</v>
      </c>
      <c r="ET125" s="75"/>
      <c r="EU125" s="75"/>
      <c r="EV125" s="32">
        <f>EV76</f>
        <v>865.99859105318785</v>
      </c>
      <c r="EW125" s="75"/>
      <c r="EX125" s="114"/>
      <c r="EY125" s="32">
        <f>EP125+ES125+EV125</f>
        <v>15541.118993924179</v>
      </c>
      <c r="EZ125" s="114"/>
      <c r="FA125" s="114"/>
      <c r="FB125" s="32">
        <f>(FB7+FB48)/2</f>
        <v>71844.955071272954</v>
      </c>
      <c r="FC125" s="75"/>
      <c r="FD125" s="75"/>
      <c r="FE125" s="32">
        <f>FE6</f>
        <v>170.48960126114636</v>
      </c>
      <c r="FF125" s="75"/>
      <c r="FG125" s="75"/>
      <c r="FH125" s="32">
        <f>FH7</f>
        <v>14199.535175879397</v>
      </c>
      <c r="FI125" s="114"/>
      <c r="FJ125" s="114"/>
      <c r="FK125" s="32">
        <f>FB125+FE125+FH125</f>
        <v>86214.979848413495</v>
      </c>
      <c r="FL125" s="114"/>
      <c r="FM125" s="114"/>
      <c r="FN125" s="32">
        <f>FN75</f>
        <v>2211.2800000000002</v>
      </c>
      <c r="FO125" s="75"/>
      <c r="FP125" s="75"/>
      <c r="FQ125" s="32">
        <f>FQ75</f>
        <v>38392.731428571424</v>
      </c>
      <c r="FR125" s="75"/>
      <c r="FS125" s="75"/>
      <c r="FT125" s="32">
        <f>0</f>
        <v>0</v>
      </c>
      <c r="FU125" s="114"/>
      <c r="FV125" s="116"/>
      <c r="FW125" s="32">
        <f>FN125+FQ125+FT125</f>
        <v>40604.011428571423</v>
      </c>
      <c r="FX125" s="116"/>
      <c r="FY125" s="23"/>
      <c r="FZ125" s="32">
        <f>Q125+CH125+CK125+CN125</f>
        <v>33336.944563752288</v>
      </c>
      <c r="GA125" s="32">
        <f>DI125+DU125+EM125+EP125+ES125+EV125+FB125+FE125+FH125+FN125+FQ125+FT125</f>
        <v>245812.42438855089</v>
      </c>
      <c r="GB125" s="32">
        <f>FZ125+GA125</f>
        <v>279149.36895230319</v>
      </c>
      <c r="GC125" s="23"/>
    </row>
    <row r="126" spans="1:185" s="83" customFormat="1" x14ac:dyDescent="0.3">
      <c r="A126" s="4"/>
      <c r="B126" s="75"/>
      <c r="C126" s="94"/>
      <c r="D126" s="75" t="s">
        <v>127</v>
      </c>
      <c r="E126" s="75">
        <v>2</v>
      </c>
      <c r="F126" s="75"/>
      <c r="G126" s="75"/>
      <c r="H126" s="75"/>
      <c r="I126" s="75"/>
      <c r="J126" s="75"/>
      <c r="K126" s="75"/>
      <c r="L126" s="75"/>
      <c r="M126" s="75"/>
      <c r="N126" s="75"/>
      <c r="O126" s="75"/>
      <c r="P126" s="75"/>
      <c r="Q126" s="32">
        <f>Q76</f>
        <v>31076.44456404736</v>
      </c>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32">
        <f>CH44</f>
        <v>2110.2906403940888</v>
      </c>
      <c r="CI126" s="75"/>
      <c r="CJ126" s="75"/>
      <c r="CK126" s="32">
        <f>CK33</f>
        <v>95.335094786729854</v>
      </c>
      <c r="CL126" s="75"/>
      <c r="CM126" s="75"/>
      <c r="CN126" s="32">
        <f>CN47</f>
        <v>54.874264524103836</v>
      </c>
      <c r="CO126" s="75"/>
      <c r="CP126" s="114"/>
      <c r="CQ126" s="32">
        <f>CK126+CN126</f>
        <v>150.20935931083369</v>
      </c>
      <c r="CR126" s="114"/>
      <c r="CS126" s="114"/>
      <c r="CT126" s="75"/>
      <c r="CU126" s="75"/>
      <c r="CV126" s="75"/>
      <c r="CW126" s="75"/>
      <c r="CX126" s="75"/>
      <c r="CY126" s="75"/>
      <c r="CZ126" s="75"/>
      <c r="DA126" s="75"/>
      <c r="DB126" s="75"/>
      <c r="DC126" s="75"/>
      <c r="DD126" s="75"/>
      <c r="DE126" s="75"/>
      <c r="DF126" s="75"/>
      <c r="DG126" s="75"/>
      <c r="DH126" s="75"/>
      <c r="DI126" s="32">
        <f>(DI34*(Prop_priv_accom+Prop_Not_stated))+(DI35*Prop_supported)+(DI36*Prop_residential)+(DI37*Prop_hosp)</f>
        <v>86334.799424324665</v>
      </c>
      <c r="DJ126" s="75"/>
      <c r="DK126" s="75"/>
      <c r="DL126" s="75"/>
      <c r="DM126" s="75"/>
      <c r="DN126" s="75"/>
      <c r="DO126" s="75"/>
      <c r="DP126" s="75"/>
      <c r="DQ126" s="75"/>
      <c r="DR126" s="75"/>
      <c r="DS126" s="75"/>
      <c r="DT126" s="75"/>
      <c r="DU126" s="32">
        <f>DU33</f>
        <v>3757.5177014218011</v>
      </c>
      <c r="DV126" s="75"/>
      <c r="DW126" s="75"/>
      <c r="DX126" s="75"/>
      <c r="DY126" s="75"/>
      <c r="DZ126" s="75"/>
      <c r="EA126" s="75"/>
      <c r="EB126" s="75"/>
      <c r="EC126" s="75"/>
      <c r="ED126" s="75"/>
      <c r="EE126" s="75"/>
      <c r="EF126" s="75"/>
      <c r="EG126" s="75"/>
      <c r="EH126" s="75"/>
      <c r="EI126" s="75"/>
      <c r="EJ126" s="75"/>
      <c r="EK126" s="75"/>
      <c r="EL126" s="75"/>
      <c r="EM126" s="32">
        <f>(EM26+EM76)/2</f>
        <v>13359.996991895305</v>
      </c>
      <c r="EN126" s="75"/>
      <c r="EO126" s="75"/>
      <c r="EP126" s="32">
        <f>(EP33+EP75)/2</f>
        <v>8460.0735714285711</v>
      </c>
      <c r="EQ126" s="75"/>
      <c r="ER126" s="75"/>
      <c r="ES126" s="32">
        <f>ES6</f>
        <v>6215.0468314424197</v>
      </c>
      <c r="ET126" s="75"/>
      <c r="EU126" s="75"/>
      <c r="EV126" s="32">
        <f>EV76</f>
        <v>865.99859105318785</v>
      </c>
      <c r="EW126" s="75"/>
      <c r="EX126" s="114"/>
      <c r="EY126" s="32">
        <f>EP126+ES126+EV126</f>
        <v>15541.118993924179</v>
      </c>
      <c r="EZ126" s="114"/>
      <c r="FA126" s="114"/>
      <c r="FB126" s="32">
        <f>(FB8+FB48)/2</f>
        <v>77789.246792405844</v>
      </c>
      <c r="FC126" s="75"/>
      <c r="FD126" s="75"/>
      <c r="FE126" s="32">
        <f>FE6</f>
        <v>170.48960126114636</v>
      </c>
      <c r="FF126" s="75"/>
      <c r="FG126" s="75"/>
      <c r="FH126" s="32">
        <f>FH8</f>
        <v>23145.11306532663</v>
      </c>
      <c r="FI126" s="114"/>
      <c r="FJ126" s="114"/>
      <c r="FK126" s="32">
        <f>FB121+FE121+FH121</f>
        <v>98574.777394256598</v>
      </c>
      <c r="FL126" s="114"/>
      <c r="FM126" s="114"/>
      <c r="FN126" s="32">
        <f>FN75</f>
        <v>2211.2800000000002</v>
      </c>
      <c r="FO126" s="75"/>
      <c r="FP126" s="75"/>
      <c r="FQ126" s="32">
        <f>FQ75</f>
        <v>38392.731428571424</v>
      </c>
      <c r="FR126" s="75"/>
      <c r="FS126" s="75"/>
      <c r="FT126" s="32">
        <f>0</f>
        <v>0</v>
      </c>
      <c r="FU126" s="114"/>
      <c r="FV126" s="116"/>
      <c r="FW126" s="32">
        <f t="shared" ref="FW126:FW127" si="22">FN126+FQ126+FT126</f>
        <v>40604.011428571423</v>
      </c>
      <c r="FX126" s="116"/>
      <c r="FY126" s="23"/>
      <c r="FZ126" s="32">
        <f>Q126+CH126+CK126+CN126</f>
        <v>33336.944563752288</v>
      </c>
      <c r="GA126" s="32">
        <f>DI126+DU126+EM126+EP126+ES126+EV126+FB126+FE126+FH126+FN126+FQ126+FT126</f>
        <v>260702.29399913101</v>
      </c>
      <c r="GB126" s="32">
        <f>FZ126+GA126</f>
        <v>294039.23856288329</v>
      </c>
      <c r="GC126" s="23"/>
    </row>
    <row r="127" spans="1:185" s="83" customFormat="1" x14ac:dyDescent="0.3">
      <c r="A127" s="4"/>
      <c r="B127" s="75"/>
      <c r="C127" s="94"/>
      <c r="D127" s="75" t="s">
        <v>124</v>
      </c>
      <c r="E127" s="75">
        <v>2</v>
      </c>
      <c r="F127" s="75"/>
      <c r="G127" s="75"/>
      <c r="H127" s="75"/>
      <c r="I127" s="75"/>
      <c r="J127" s="75"/>
      <c r="K127" s="75"/>
      <c r="L127" s="75"/>
      <c r="M127" s="75"/>
      <c r="N127" s="75"/>
      <c r="O127" s="75"/>
      <c r="P127" s="75"/>
      <c r="Q127" s="32">
        <f>Q76</f>
        <v>31076.44456404736</v>
      </c>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32">
        <f>(CH22+CH54)/2</f>
        <v>4002.0686180993407</v>
      </c>
      <c r="CI127" s="75"/>
      <c r="CJ127" s="75"/>
      <c r="CK127" s="32">
        <f>CK33</f>
        <v>95.335094786729854</v>
      </c>
      <c r="CL127" s="75"/>
      <c r="CM127" s="75"/>
      <c r="CN127" s="32">
        <f>CN54</f>
        <v>280.33321243523318</v>
      </c>
      <c r="CO127" s="75"/>
      <c r="CP127" s="114"/>
      <c r="CQ127" s="32">
        <f>CK127+CN127</f>
        <v>375.668307221963</v>
      </c>
      <c r="CR127" s="114"/>
      <c r="CS127" s="114"/>
      <c r="CT127" s="75"/>
      <c r="CU127" s="75"/>
      <c r="CV127" s="75"/>
      <c r="CW127" s="75"/>
      <c r="CX127" s="75"/>
      <c r="CY127" s="75"/>
      <c r="CZ127" s="75"/>
      <c r="DA127" s="75"/>
      <c r="DB127" s="75"/>
      <c r="DC127" s="75"/>
      <c r="DD127" s="75"/>
      <c r="DE127" s="75"/>
      <c r="DF127" s="75"/>
      <c r="DG127" s="75"/>
      <c r="DH127" s="75"/>
      <c r="DI127" s="32">
        <f>DI16*Prop_req_accom</f>
        <v>99169.105511551141</v>
      </c>
      <c r="DJ127" s="75"/>
      <c r="DK127" s="75"/>
      <c r="DL127" s="75"/>
      <c r="DM127" s="75"/>
      <c r="DN127" s="75"/>
      <c r="DO127" s="75"/>
      <c r="DP127" s="75"/>
      <c r="DQ127" s="75"/>
      <c r="DR127" s="75"/>
      <c r="DS127" s="75"/>
      <c r="DT127" s="75"/>
      <c r="DU127" s="32">
        <f>DU33</f>
        <v>3757.5177014218011</v>
      </c>
      <c r="DV127" s="75"/>
      <c r="DW127" s="75"/>
      <c r="DX127" s="75"/>
      <c r="DY127" s="75"/>
      <c r="DZ127" s="75"/>
      <c r="EA127" s="75"/>
      <c r="EB127" s="75"/>
      <c r="EC127" s="75"/>
      <c r="ED127" s="75"/>
      <c r="EE127" s="75"/>
      <c r="EF127" s="75"/>
      <c r="EG127" s="75"/>
      <c r="EH127" s="75"/>
      <c r="EI127" s="75"/>
      <c r="EJ127" s="75"/>
      <c r="EK127" s="75"/>
      <c r="EL127" s="75"/>
      <c r="EM127" s="32">
        <f>(EM26+EM76)/2</f>
        <v>13359.996991895305</v>
      </c>
      <c r="EN127" s="75"/>
      <c r="EO127" s="75"/>
      <c r="EP127" s="32">
        <f>(EP33+EP75)/2</f>
        <v>8460.0735714285711</v>
      </c>
      <c r="EQ127" s="75"/>
      <c r="ER127" s="75"/>
      <c r="ES127" s="32">
        <f>ES6</f>
        <v>6215.0468314424197</v>
      </c>
      <c r="ET127" s="75"/>
      <c r="EU127" s="75"/>
      <c r="EV127" s="32">
        <f>EV76</f>
        <v>865.99859105318785</v>
      </c>
      <c r="EW127" s="75"/>
      <c r="EX127" s="114"/>
      <c r="EY127" s="32">
        <f>EP127+ES127+EV127</f>
        <v>15541.118993924179</v>
      </c>
      <c r="EZ127" s="114"/>
      <c r="FA127" s="114"/>
      <c r="FB127" s="32">
        <f>FB9</f>
        <v>104553.40915032678</v>
      </c>
      <c r="FC127" s="75"/>
      <c r="FD127" s="75"/>
      <c r="FE127" s="32">
        <f>FE6</f>
        <v>170.48960126114636</v>
      </c>
      <c r="FF127" s="75"/>
      <c r="FG127" s="75"/>
      <c r="FH127" s="32">
        <f>FH9</f>
        <v>16591.055276381911</v>
      </c>
      <c r="FI127" s="114"/>
      <c r="FJ127" s="114"/>
      <c r="FK127" s="32">
        <f>FB127+FE127+FH127</f>
        <v>121314.95402796984</v>
      </c>
      <c r="FL127" s="114"/>
      <c r="FM127" s="114"/>
      <c r="FN127" s="32">
        <f>FN75</f>
        <v>2211.2800000000002</v>
      </c>
      <c r="FO127" s="75"/>
      <c r="FP127" s="75"/>
      <c r="FQ127" s="32">
        <f>FQ75</f>
        <v>38392.731428571424</v>
      </c>
      <c r="FR127" s="75"/>
      <c r="FS127" s="75"/>
      <c r="FT127" s="32">
        <f>0</f>
        <v>0</v>
      </c>
      <c r="FU127" s="114"/>
      <c r="FV127" s="116"/>
      <c r="FW127" s="32">
        <f t="shared" si="22"/>
        <v>40604.011428571423</v>
      </c>
      <c r="FX127" s="116"/>
      <c r="FY127" s="23"/>
      <c r="FZ127" s="32">
        <f>Q127+CH127+CK127+CN127</f>
        <v>35454.181489368661</v>
      </c>
      <c r="GA127" s="32">
        <f>DI127+DU127+EM127+EP127+ES127+EV127+FB127+FE127+FH127+FN127+FQ127+FT127</f>
        <v>293746.70465533371</v>
      </c>
      <c r="GB127" s="32">
        <f>FZ127+GA127</f>
        <v>329200.88614470238</v>
      </c>
      <c r="GC127" s="23"/>
    </row>
    <row r="128" spans="1:185" x14ac:dyDescent="0.3">
      <c r="A128" s="4"/>
      <c r="B128" s="4"/>
      <c r="C128" s="4"/>
      <c r="D128" s="4"/>
      <c r="E128" s="4"/>
      <c r="F128" s="19"/>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3"/>
      <c r="FZ128" s="4"/>
      <c r="GA128" s="4"/>
      <c r="GB128" s="4"/>
      <c r="GC128" s="3"/>
    </row>
    <row r="129" spans="1:185" x14ac:dyDescent="0.3">
      <c r="A129" s="4"/>
      <c r="B129" s="3"/>
      <c r="C129" s="3"/>
      <c r="D129" s="3"/>
      <c r="E129" s="23"/>
      <c r="F129" s="112"/>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112"/>
      <c r="CR129" s="3"/>
      <c r="CS129" s="3"/>
      <c r="CT129" s="3"/>
      <c r="CU129" s="3"/>
      <c r="CV129" s="3"/>
      <c r="CW129" s="3"/>
      <c r="CX129" s="3"/>
      <c r="CY129" s="3"/>
      <c r="CZ129" s="3"/>
      <c r="DA129" s="3"/>
      <c r="DB129" s="3"/>
      <c r="DC129" s="3"/>
      <c r="DD129" s="3"/>
      <c r="DE129" s="3"/>
      <c r="DF129" s="3"/>
      <c r="DG129" s="3"/>
      <c r="DH129" s="3"/>
      <c r="DI129" s="112"/>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112"/>
      <c r="EN129" s="3"/>
      <c r="EO129" s="3"/>
      <c r="EP129" s="3"/>
      <c r="EQ129" s="3"/>
      <c r="ER129" s="3"/>
      <c r="ES129" s="3"/>
      <c r="ET129" s="3"/>
      <c r="EU129" s="3"/>
      <c r="EV129" s="3"/>
      <c r="EW129" s="3"/>
      <c r="EX129" s="3"/>
      <c r="EY129" s="3"/>
      <c r="EZ129" s="3"/>
      <c r="FA129" s="112"/>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16" t="s">
        <v>189</v>
      </c>
      <c r="GB129" s="3"/>
      <c r="GC129" s="3"/>
    </row>
    <row r="130" spans="1:185" x14ac:dyDescent="0.3">
      <c r="A130" s="4"/>
      <c r="B130" s="47" t="s">
        <v>143</v>
      </c>
      <c r="C130" s="47"/>
      <c r="D130" s="4"/>
      <c r="E130" s="27"/>
      <c r="F130" s="19"/>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19"/>
      <c r="CR130" s="4"/>
      <c r="CS130" s="4"/>
      <c r="CT130" s="4"/>
      <c r="CU130" s="4"/>
      <c r="CV130" s="4"/>
      <c r="CW130" s="4"/>
      <c r="CX130" s="4"/>
      <c r="CY130" s="4"/>
      <c r="CZ130" s="4"/>
      <c r="DA130" s="4"/>
      <c r="DB130" s="4"/>
      <c r="DC130" s="4"/>
      <c r="DD130" s="4"/>
      <c r="DE130" s="4"/>
      <c r="DF130" s="4"/>
      <c r="DG130" s="4"/>
      <c r="DH130" s="4"/>
      <c r="DI130" s="19"/>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19"/>
      <c r="EN130" s="4"/>
      <c r="EO130" s="4"/>
      <c r="EP130" s="4"/>
      <c r="EQ130" s="4"/>
      <c r="ER130" s="4"/>
      <c r="ES130" s="4"/>
      <c r="ET130" s="4"/>
      <c r="EU130" s="4"/>
      <c r="EV130" s="4"/>
      <c r="EW130" s="4"/>
      <c r="EX130" s="4"/>
      <c r="EY130" s="4"/>
      <c r="EZ130" s="4"/>
      <c r="FA130" s="19"/>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3"/>
      <c r="FZ130" s="47" t="s">
        <v>145</v>
      </c>
      <c r="GA130" s="47" t="s">
        <v>146</v>
      </c>
      <c r="GB130" s="47" t="s">
        <v>147</v>
      </c>
      <c r="GC130" s="3"/>
    </row>
    <row r="131" spans="1:185" s="83" customFormat="1" x14ac:dyDescent="0.3">
      <c r="A131" s="4"/>
      <c r="B131" s="39"/>
      <c r="C131" s="94"/>
      <c r="D131" s="39" t="s">
        <v>125</v>
      </c>
      <c r="E131" s="39">
        <v>3</v>
      </c>
      <c r="F131" s="39"/>
      <c r="G131" s="39"/>
      <c r="H131" s="39"/>
      <c r="I131" s="39"/>
      <c r="J131" s="39"/>
      <c r="K131" s="39"/>
      <c r="L131" s="39"/>
      <c r="M131" s="39"/>
      <c r="N131" s="39"/>
      <c r="O131" s="39"/>
      <c r="P131" s="39"/>
      <c r="Q131" s="32">
        <f>Q33</f>
        <v>7541.3347393364929</v>
      </c>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2">
        <f>CH33</f>
        <v>954.99465639810421</v>
      </c>
      <c r="CI131" s="39"/>
      <c r="CJ131" s="39"/>
      <c r="CK131" s="32">
        <f>CK33</f>
        <v>95.335094786729854</v>
      </c>
      <c r="CL131" s="39"/>
      <c r="CM131" s="39"/>
      <c r="CN131" s="32">
        <f>CN48</f>
        <v>25.722311495673676</v>
      </c>
      <c r="CO131" s="39"/>
      <c r="CP131" s="114"/>
      <c r="CQ131" s="32">
        <f>CK131+CN131</f>
        <v>121.05740628240353</v>
      </c>
      <c r="CR131" s="114"/>
      <c r="CS131" s="114"/>
      <c r="CT131" s="39"/>
      <c r="CU131" s="39"/>
      <c r="CV131" s="39"/>
      <c r="CW131" s="39"/>
      <c r="CX131" s="39"/>
      <c r="CY131" s="39"/>
      <c r="CZ131" s="39"/>
      <c r="DA131" s="39"/>
      <c r="DB131" s="39"/>
      <c r="DC131" s="39"/>
      <c r="DD131" s="39"/>
      <c r="DE131" s="39"/>
      <c r="DF131" s="39"/>
      <c r="DG131" s="39"/>
      <c r="DH131" s="39"/>
      <c r="DI131" s="32">
        <f>(DI42+DI60)/2</f>
        <v>21389.766066514021</v>
      </c>
      <c r="DJ131" s="39"/>
      <c r="DK131" s="39"/>
      <c r="DL131" s="39"/>
      <c r="DM131" s="39"/>
      <c r="DN131" s="39"/>
      <c r="DO131" s="39"/>
      <c r="DP131" s="39"/>
      <c r="DQ131" s="39"/>
      <c r="DR131" s="39"/>
      <c r="DS131" s="39"/>
      <c r="DT131" s="39"/>
      <c r="DU131" s="32">
        <f>0</f>
        <v>0</v>
      </c>
      <c r="DV131" s="39"/>
      <c r="DW131" s="39"/>
      <c r="DX131" s="39"/>
      <c r="DY131" s="39"/>
      <c r="DZ131" s="39"/>
      <c r="EA131" s="39"/>
      <c r="EB131" s="39"/>
      <c r="EC131" s="39"/>
      <c r="ED131" s="39"/>
      <c r="EE131" s="39"/>
      <c r="EF131" s="39"/>
      <c r="EG131" s="39"/>
      <c r="EH131" s="39"/>
      <c r="EI131" s="39"/>
      <c r="EJ131" s="39"/>
      <c r="EK131" s="39"/>
      <c r="EL131" s="39"/>
      <c r="EM131" s="32">
        <f>EM42</f>
        <v>9891.1364532019707</v>
      </c>
      <c r="EN131" s="39"/>
      <c r="EO131" s="39"/>
      <c r="EP131" s="32">
        <f>EP7</f>
        <v>5632.7480916030527</v>
      </c>
      <c r="EQ131" s="39"/>
      <c r="ER131" s="39"/>
      <c r="ES131" s="32">
        <f>ES6</f>
        <v>6215.0468314424197</v>
      </c>
      <c r="ET131" s="39"/>
      <c r="EU131" s="39"/>
      <c r="EV131" s="32">
        <f>0</f>
        <v>0</v>
      </c>
      <c r="EW131" s="39"/>
      <c r="EX131" s="114"/>
      <c r="EY131" s="32">
        <f>EP131+ES131+EV131</f>
        <v>11847.794923045472</v>
      </c>
      <c r="EZ131" s="114"/>
      <c r="FA131" s="114"/>
      <c r="FB131" s="32">
        <f>(FB7+FB47)/2</f>
        <v>45183.760214130089</v>
      </c>
      <c r="FC131" s="39"/>
      <c r="FD131" s="39"/>
      <c r="FE131" s="32">
        <f>FE6</f>
        <v>170.48960126114636</v>
      </c>
      <c r="FF131" s="39"/>
      <c r="FG131" s="39"/>
      <c r="FH131" s="32">
        <f>FH7</f>
        <v>14199.535175879397</v>
      </c>
      <c r="FI131" s="39"/>
      <c r="FJ131" s="114"/>
      <c r="FK131" s="32">
        <f>FB131+FE131+FH131</f>
        <v>59553.784991270637</v>
      </c>
      <c r="FL131" s="114"/>
      <c r="FM131" s="114"/>
      <c r="FN131" s="32">
        <f>FN76</f>
        <v>2328.9834448749561</v>
      </c>
      <c r="FO131" s="39"/>
      <c r="FP131" s="39"/>
      <c r="FQ131" s="32">
        <f>FQ76</f>
        <v>13165.635317600094</v>
      </c>
      <c r="FR131" s="39"/>
      <c r="FS131" s="39"/>
      <c r="FT131" s="32">
        <v>0</v>
      </c>
      <c r="FU131" s="114"/>
      <c r="FV131" s="116"/>
      <c r="FW131" s="32">
        <f>FN131+FQ131+FT131</f>
        <v>15494.618762475049</v>
      </c>
      <c r="FX131" s="116"/>
      <c r="FY131" s="23"/>
      <c r="FZ131" s="32">
        <f>Q131+CH131+CK131+CN131</f>
        <v>8617.3868020170012</v>
      </c>
      <c r="GA131" s="32">
        <f>DI131+DU131+EM131+EP131+ES131+EV131+FB131+FE131+FH131+FN131+FQ131+FT131</f>
        <v>118177.10119650715</v>
      </c>
      <c r="GB131" s="32">
        <f>FZ131+GA131</f>
        <v>126794.48799852416</v>
      </c>
      <c r="GC131" s="23"/>
    </row>
    <row r="132" spans="1:185" s="83" customFormat="1" x14ac:dyDescent="0.3">
      <c r="A132" s="4"/>
      <c r="B132" s="39"/>
      <c r="C132" s="94"/>
      <c r="D132" s="39" t="s">
        <v>126</v>
      </c>
      <c r="E132" s="39">
        <v>3</v>
      </c>
      <c r="F132" s="39"/>
      <c r="G132" s="39"/>
      <c r="H132" s="39"/>
      <c r="I132" s="39"/>
      <c r="J132" s="39"/>
      <c r="K132" s="39"/>
      <c r="L132" s="39"/>
      <c r="M132" s="39"/>
      <c r="N132" s="39"/>
      <c r="O132" s="39"/>
      <c r="P132" s="39"/>
      <c r="Q132" s="32">
        <f>Q33</f>
        <v>7541.3347393364929</v>
      </c>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2">
        <f>CH33</f>
        <v>954.99465639810421</v>
      </c>
      <c r="CI132" s="39"/>
      <c r="CJ132" s="39"/>
      <c r="CK132" s="32">
        <f>CK33</f>
        <v>95.335094786729854</v>
      </c>
      <c r="CL132" s="39"/>
      <c r="CM132" s="39"/>
      <c r="CN132" s="32">
        <f>CN48</f>
        <v>25.722311495673676</v>
      </c>
      <c r="CO132" s="39"/>
      <c r="CP132" s="114"/>
      <c r="CQ132" s="32">
        <f>CK132+CN132</f>
        <v>121.05740628240353</v>
      </c>
      <c r="CR132" s="114"/>
      <c r="CS132" s="114"/>
      <c r="CT132" s="39"/>
      <c r="CU132" s="39"/>
      <c r="CV132" s="39"/>
      <c r="CW132" s="39"/>
      <c r="CX132" s="39"/>
      <c r="CY132" s="39"/>
      <c r="CZ132" s="39"/>
      <c r="DA132" s="39"/>
      <c r="DB132" s="39"/>
      <c r="DC132" s="39"/>
      <c r="DD132" s="39"/>
      <c r="DE132" s="39"/>
      <c r="DF132" s="39"/>
      <c r="DG132" s="39"/>
      <c r="DH132" s="39"/>
      <c r="DI132" s="32">
        <f>(DI42+DI60)/2</f>
        <v>21389.766066514021</v>
      </c>
      <c r="DJ132" s="39"/>
      <c r="DK132" s="39"/>
      <c r="DL132" s="39"/>
      <c r="DM132" s="39"/>
      <c r="DN132" s="39"/>
      <c r="DO132" s="39"/>
      <c r="DP132" s="39"/>
      <c r="DQ132" s="39"/>
      <c r="DR132" s="39"/>
      <c r="DS132" s="39"/>
      <c r="DT132" s="39"/>
      <c r="DU132" s="32">
        <f>0</f>
        <v>0</v>
      </c>
      <c r="DV132" s="39"/>
      <c r="DW132" s="39"/>
      <c r="DX132" s="39"/>
      <c r="DY132" s="39"/>
      <c r="DZ132" s="39"/>
      <c r="EA132" s="39"/>
      <c r="EB132" s="39"/>
      <c r="EC132" s="39"/>
      <c r="ED132" s="39"/>
      <c r="EE132" s="39"/>
      <c r="EF132" s="39"/>
      <c r="EG132" s="39"/>
      <c r="EH132" s="39"/>
      <c r="EI132" s="39"/>
      <c r="EJ132" s="39"/>
      <c r="EK132" s="39"/>
      <c r="EL132" s="39"/>
      <c r="EM132" s="32">
        <f>EM42</f>
        <v>9891.1364532019707</v>
      </c>
      <c r="EN132" s="39"/>
      <c r="EO132" s="39"/>
      <c r="EP132" s="32">
        <f>EP8</f>
        <v>4445.5215686274505</v>
      </c>
      <c r="EQ132" s="39"/>
      <c r="ER132" s="39"/>
      <c r="ES132" s="32">
        <f>ES6</f>
        <v>6215.0468314424197</v>
      </c>
      <c r="ET132" s="39"/>
      <c r="EU132" s="39"/>
      <c r="EV132" s="32">
        <f>0</f>
        <v>0</v>
      </c>
      <c r="EW132" s="39"/>
      <c r="EX132" s="114"/>
      <c r="EY132" s="32">
        <f>EP132+ES132+EV132</f>
        <v>10660.568400069871</v>
      </c>
      <c r="EZ132" s="114"/>
      <c r="FA132" s="114"/>
      <c r="FB132" s="32">
        <f>(FB8+FB47)/2</f>
        <v>51128.051935262985</v>
      </c>
      <c r="FC132" s="39"/>
      <c r="FD132" s="39"/>
      <c r="FE132" s="32">
        <f>FE6</f>
        <v>170.48960126114636</v>
      </c>
      <c r="FF132" s="39"/>
      <c r="FG132" s="39"/>
      <c r="FH132" s="32">
        <f>FH8</f>
        <v>23145.11306532663</v>
      </c>
      <c r="FI132" s="39"/>
      <c r="FJ132" s="114"/>
      <c r="FK132" s="32">
        <f>FB132+FE132+FH132</f>
        <v>74443.654601850765</v>
      </c>
      <c r="FL132" s="114"/>
      <c r="FM132" s="114"/>
      <c r="FN132" s="32">
        <f>FN76</f>
        <v>2328.9834448749561</v>
      </c>
      <c r="FO132" s="39"/>
      <c r="FP132" s="39"/>
      <c r="FQ132" s="32">
        <f>FQ76</f>
        <v>13165.635317600094</v>
      </c>
      <c r="FR132" s="39"/>
      <c r="FS132" s="39"/>
      <c r="FT132" s="32">
        <v>0</v>
      </c>
      <c r="FU132" s="114"/>
      <c r="FV132" s="116"/>
      <c r="FW132" s="32">
        <f t="shared" ref="FW132:FW159" si="23">FN132+FQ132+FT132</f>
        <v>15494.618762475049</v>
      </c>
      <c r="FX132" s="116"/>
      <c r="FY132" s="23"/>
      <c r="FZ132" s="32">
        <f>Q132+CH132+CK132+CN132</f>
        <v>8617.3868020170012</v>
      </c>
      <c r="GA132" s="32">
        <f>DI132+DU132+EM132+EP132+ES132+EV132+FB132+FE132+FH132+FN132+FQ132+FT132</f>
        <v>131879.74428411169</v>
      </c>
      <c r="GB132" s="32">
        <f>FZ132+GA132</f>
        <v>140497.13108612868</v>
      </c>
      <c r="GC132" s="23"/>
    </row>
    <row r="133" spans="1:185" s="83" customFormat="1" x14ac:dyDescent="0.3">
      <c r="A133" s="4"/>
      <c r="B133" s="39"/>
      <c r="C133" s="94"/>
      <c r="D133" s="39" t="s">
        <v>148</v>
      </c>
      <c r="E133" s="39">
        <v>3</v>
      </c>
      <c r="F133" s="39"/>
      <c r="G133" s="39"/>
      <c r="H133" s="39"/>
      <c r="I133" s="39"/>
      <c r="J133" s="39"/>
      <c r="K133" s="39"/>
      <c r="L133" s="39"/>
      <c r="M133" s="39"/>
      <c r="N133" s="39"/>
      <c r="O133" s="39"/>
      <c r="P133" s="39"/>
      <c r="Q133" s="32">
        <f>Q33</f>
        <v>7541.3347393364929</v>
      </c>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2">
        <f>(CH55+CH57)/2</f>
        <v>1930.4680680247561</v>
      </c>
      <c r="CI133" s="39"/>
      <c r="CJ133" s="39"/>
      <c r="CK133" s="32">
        <f>CK33</f>
        <v>95.335094786729854</v>
      </c>
      <c r="CL133" s="39"/>
      <c r="CM133" s="39"/>
      <c r="CN133" s="32">
        <f>CN55</f>
        <v>93.444404145077726</v>
      </c>
      <c r="CO133" s="39"/>
      <c r="CP133" s="114"/>
      <c r="CQ133" s="32">
        <f>CK133+CN133</f>
        <v>188.77949893180758</v>
      </c>
      <c r="CR133" s="114"/>
      <c r="CS133" s="114"/>
      <c r="CT133" s="39"/>
      <c r="CU133" s="39"/>
      <c r="CV133" s="39"/>
      <c r="CW133" s="39"/>
      <c r="CX133" s="39"/>
      <c r="CY133" s="39"/>
      <c r="CZ133" s="39"/>
      <c r="DA133" s="39"/>
      <c r="DB133" s="39"/>
      <c r="DC133" s="39"/>
      <c r="DD133" s="39"/>
      <c r="DE133" s="39"/>
      <c r="DF133" s="39"/>
      <c r="DG133" s="39"/>
      <c r="DH133" s="39"/>
      <c r="DI133" s="24">
        <f>DI57</f>
        <v>55739.525676741148</v>
      </c>
      <c r="DJ133" s="39"/>
      <c r="DK133" s="39"/>
      <c r="DL133" s="39"/>
      <c r="DM133" s="39"/>
      <c r="DN133" s="39"/>
      <c r="DO133" s="39"/>
      <c r="DP133" s="39"/>
      <c r="DQ133" s="39"/>
      <c r="DR133" s="39"/>
      <c r="DS133" s="39"/>
      <c r="DT133" s="39"/>
      <c r="DU133" s="32">
        <f>0</f>
        <v>0</v>
      </c>
      <c r="DV133" s="39"/>
      <c r="DW133" s="39"/>
      <c r="DX133" s="39"/>
      <c r="DY133" s="39"/>
      <c r="DZ133" s="39"/>
      <c r="EA133" s="39"/>
      <c r="EB133" s="39"/>
      <c r="EC133" s="39"/>
      <c r="ED133" s="39"/>
      <c r="EE133" s="39"/>
      <c r="EF133" s="39"/>
      <c r="EG133" s="39"/>
      <c r="EH133" s="39"/>
      <c r="EI133" s="39"/>
      <c r="EJ133" s="39"/>
      <c r="EK133" s="39"/>
      <c r="EL133" s="39"/>
      <c r="EM133" s="32">
        <f>EM52</f>
        <v>6397.9389717223657</v>
      </c>
      <c r="EN133" s="39"/>
      <c r="EO133" s="39"/>
      <c r="EP133" s="32">
        <f>EP9</f>
        <v>6670.2740740740728</v>
      </c>
      <c r="EQ133" s="39"/>
      <c r="ER133" s="39"/>
      <c r="ES133" s="32">
        <f>ES6</f>
        <v>6215.0468314424197</v>
      </c>
      <c r="ET133" s="39"/>
      <c r="EU133" s="39"/>
      <c r="EV133" s="32">
        <f>0</f>
        <v>0</v>
      </c>
      <c r="EW133" s="39"/>
      <c r="EX133" s="114"/>
      <c r="EY133" s="32">
        <f>EP133+ES133+EV133</f>
        <v>12885.320905516492</v>
      </c>
      <c r="EZ133" s="114"/>
      <c r="FA133" s="114"/>
      <c r="FB133" s="32">
        <f>(FB9+FB47)/2</f>
        <v>65775.169146591972</v>
      </c>
      <c r="FC133" s="39"/>
      <c r="FD133" s="39"/>
      <c r="FE133" s="32">
        <f>FE6</f>
        <v>170.48960126114636</v>
      </c>
      <c r="FF133" s="39"/>
      <c r="FG133" s="39"/>
      <c r="FH133" s="32">
        <f>FH9</f>
        <v>16591.055276381911</v>
      </c>
      <c r="FI133" s="39"/>
      <c r="FJ133" s="114"/>
      <c r="FK133" s="32">
        <f>FB133+FE133+FH133</f>
        <v>82536.714024235029</v>
      </c>
      <c r="FL133" s="114"/>
      <c r="FM133" s="114"/>
      <c r="FN133" s="32">
        <f>FN76</f>
        <v>2328.9834448749561</v>
      </c>
      <c r="FO133" s="39"/>
      <c r="FP133" s="39"/>
      <c r="FQ133" s="32">
        <f>FQ76</f>
        <v>13165.635317600094</v>
      </c>
      <c r="FR133" s="39"/>
      <c r="FS133" s="39"/>
      <c r="FT133" s="32">
        <v>0</v>
      </c>
      <c r="FU133" s="114"/>
      <c r="FV133" s="116"/>
      <c r="FW133" s="32">
        <f t="shared" si="23"/>
        <v>15494.618762475049</v>
      </c>
      <c r="FX133" s="116"/>
      <c r="FY133" s="23"/>
      <c r="FZ133" s="32">
        <f>Q133+CH133+CK133+CN133</f>
        <v>9660.5823062930558</v>
      </c>
      <c r="GA133" s="32">
        <f>DI133+DU133+EM133+EP133+ES133+EV133+FB133+FE133+FH133+FN133+FQ133+FT133</f>
        <v>173054.1183406901</v>
      </c>
      <c r="GB133" s="32">
        <f>FZ133+GA133</f>
        <v>182714.70064698314</v>
      </c>
      <c r="GC133" s="23"/>
    </row>
    <row r="134" spans="1:185" s="83" customFormat="1" x14ac:dyDescent="0.3">
      <c r="A134" s="4"/>
      <c r="B134" s="23"/>
      <c r="C134" s="23"/>
      <c r="D134" s="23"/>
      <c r="E134" s="23"/>
      <c r="F134" s="31"/>
      <c r="G134" s="23"/>
      <c r="H134" s="23"/>
      <c r="I134" s="23"/>
      <c r="J134" s="23"/>
      <c r="K134" s="23"/>
      <c r="L134" s="23"/>
      <c r="M134" s="23"/>
      <c r="N134" s="23"/>
      <c r="O134" s="23"/>
      <c r="P134" s="23"/>
      <c r="Q134" s="31"/>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31"/>
      <c r="CI134" s="23"/>
      <c r="CJ134" s="23"/>
      <c r="CK134" s="31"/>
      <c r="CL134" s="23"/>
      <c r="CM134" s="23"/>
      <c r="CN134" s="31"/>
      <c r="CO134" s="31"/>
      <c r="CP134" s="31"/>
      <c r="CQ134" s="23"/>
      <c r="CR134" s="31"/>
      <c r="CS134" s="23"/>
      <c r="CT134" s="23"/>
      <c r="CU134" s="23"/>
      <c r="CV134" s="23"/>
      <c r="CW134" s="23"/>
      <c r="CX134" s="23"/>
      <c r="CY134" s="23"/>
      <c r="CZ134" s="23"/>
      <c r="DA134" s="23"/>
      <c r="DB134" s="23"/>
      <c r="DC134" s="23"/>
      <c r="DD134" s="23"/>
      <c r="DE134" s="23"/>
      <c r="DF134" s="23"/>
      <c r="DG134" s="23"/>
      <c r="DH134" s="23"/>
      <c r="DI134" s="31"/>
      <c r="DJ134" s="23"/>
      <c r="DK134" s="23"/>
      <c r="DL134" s="23"/>
      <c r="DM134" s="23"/>
      <c r="DN134" s="23"/>
      <c r="DO134" s="23"/>
      <c r="DP134" s="23"/>
      <c r="DQ134" s="23"/>
      <c r="DR134" s="23"/>
      <c r="DS134" s="23"/>
      <c r="DT134" s="23"/>
      <c r="DU134" s="31"/>
      <c r="DV134" s="23"/>
      <c r="DW134" s="23"/>
      <c r="DX134" s="23"/>
      <c r="DY134" s="23"/>
      <c r="DZ134" s="23"/>
      <c r="EA134" s="23"/>
      <c r="EB134" s="23"/>
      <c r="EC134" s="23"/>
      <c r="ED134" s="23"/>
      <c r="EE134" s="23"/>
      <c r="EF134" s="23"/>
      <c r="EG134" s="23"/>
      <c r="EH134" s="23"/>
      <c r="EI134" s="23"/>
      <c r="EJ134" s="23"/>
      <c r="EK134" s="23"/>
      <c r="EL134" s="23"/>
      <c r="EM134" s="31"/>
      <c r="EN134" s="23"/>
      <c r="EO134" s="23"/>
      <c r="EP134" s="31"/>
      <c r="EQ134" s="23"/>
      <c r="ER134" s="23"/>
      <c r="ES134" s="31"/>
      <c r="ET134" s="23"/>
      <c r="EU134" s="23"/>
      <c r="EV134" s="31"/>
      <c r="EW134" s="23"/>
      <c r="EX134" s="23"/>
      <c r="EY134" s="23"/>
      <c r="EZ134" s="23"/>
      <c r="FA134" s="23"/>
      <c r="FB134" s="31"/>
      <c r="FC134" s="23"/>
      <c r="FD134" s="23"/>
      <c r="FE134" s="31"/>
      <c r="FF134" s="23"/>
      <c r="FG134" s="23"/>
      <c r="FH134" s="31"/>
      <c r="FI134" s="23"/>
      <c r="FJ134" s="23"/>
      <c r="FK134" s="23"/>
      <c r="FL134" s="23"/>
      <c r="FM134" s="23"/>
      <c r="FN134" s="31"/>
      <c r="FO134" s="23"/>
      <c r="FP134" s="23"/>
      <c r="FQ134" s="31"/>
      <c r="FR134" s="23"/>
      <c r="FS134" s="23"/>
      <c r="FT134" s="31"/>
      <c r="FU134" s="31"/>
      <c r="FV134" s="31"/>
      <c r="FW134" s="31"/>
      <c r="FX134" s="31"/>
      <c r="FY134" s="23"/>
      <c r="FZ134" s="31"/>
      <c r="GA134" s="16" t="s">
        <v>190</v>
      </c>
      <c r="GB134" s="31"/>
      <c r="GC134" s="23"/>
    </row>
    <row r="135" spans="1:185" s="83" customFormat="1" x14ac:dyDescent="0.3">
      <c r="A135" s="4"/>
      <c r="B135" s="27"/>
      <c r="C135" s="27"/>
      <c r="D135" s="27"/>
      <c r="E135" s="27"/>
      <c r="F135" s="25"/>
      <c r="G135" s="27"/>
      <c r="H135" s="27"/>
      <c r="I135" s="27"/>
      <c r="J135" s="27"/>
      <c r="K135" s="27"/>
      <c r="L135" s="27"/>
      <c r="M135" s="27"/>
      <c r="N135" s="27"/>
      <c r="O135" s="27"/>
      <c r="P135" s="27"/>
      <c r="Q135" s="25"/>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5"/>
      <c r="CI135" s="27"/>
      <c r="CJ135" s="27"/>
      <c r="CK135" s="25"/>
      <c r="CL135" s="27"/>
      <c r="CM135" s="27"/>
      <c r="CN135" s="25"/>
      <c r="CO135" s="25"/>
      <c r="CP135" s="25"/>
      <c r="CQ135" s="27"/>
      <c r="CR135" s="25"/>
      <c r="CS135" s="27"/>
      <c r="CT135" s="27"/>
      <c r="CU135" s="27"/>
      <c r="CV135" s="27"/>
      <c r="CW135" s="27"/>
      <c r="CX135" s="27"/>
      <c r="CY135" s="27"/>
      <c r="CZ135" s="27"/>
      <c r="DA135" s="27"/>
      <c r="DB135" s="27"/>
      <c r="DC135" s="27"/>
      <c r="DD135" s="27"/>
      <c r="DE135" s="27"/>
      <c r="DF135" s="27"/>
      <c r="DG135" s="27"/>
      <c r="DH135" s="27"/>
      <c r="DI135" s="25"/>
      <c r="DJ135" s="27"/>
      <c r="DK135" s="27"/>
      <c r="DL135" s="27"/>
      <c r="DM135" s="27"/>
      <c r="DN135" s="27"/>
      <c r="DO135" s="27"/>
      <c r="DP135" s="27"/>
      <c r="DQ135" s="27"/>
      <c r="DR135" s="27"/>
      <c r="DS135" s="27"/>
      <c r="DT135" s="27"/>
      <c r="DU135" s="25"/>
      <c r="DV135" s="27"/>
      <c r="DW135" s="27"/>
      <c r="DX135" s="27"/>
      <c r="DY135" s="27"/>
      <c r="DZ135" s="27"/>
      <c r="EA135" s="27"/>
      <c r="EB135" s="27"/>
      <c r="EC135" s="27"/>
      <c r="ED135" s="27"/>
      <c r="EE135" s="27"/>
      <c r="EF135" s="27"/>
      <c r="EG135" s="27"/>
      <c r="EH135" s="27"/>
      <c r="EI135" s="27"/>
      <c r="EJ135" s="27"/>
      <c r="EK135" s="27"/>
      <c r="EL135" s="27"/>
      <c r="EM135" s="25"/>
      <c r="EN135" s="27"/>
      <c r="EO135" s="27"/>
      <c r="EP135" s="25"/>
      <c r="EQ135" s="27"/>
      <c r="ER135" s="27"/>
      <c r="ES135" s="25"/>
      <c r="ET135" s="27"/>
      <c r="EU135" s="27"/>
      <c r="EV135" s="25"/>
      <c r="EW135" s="27"/>
      <c r="EX135" s="27"/>
      <c r="EY135" s="27"/>
      <c r="EZ135" s="27"/>
      <c r="FA135" s="27"/>
      <c r="FB135" s="25"/>
      <c r="FC135" s="27"/>
      <c r="FD135" s="27"/>
      <c r="FE135" s="25"/>
      <c r="FF135" s="27"/>
      <c r="FG135" s="27"/>
      <c r="FH135" s="25"/>
      <c r="FI135" s="27"/>
      <c r="FJ135" s="27"/>
      <c r="FK135" s="27"/>
      <c r="FL135" s="27"/>
      <c r="FM135" s="27"/>
      <c r="FN135" s="25"/>
      <c r="FO135" s="27"/>
      <c r="FP135" s="27"/>
      <c r="FQ135" s="25"/>
      <c r="FR135" s="27"/>
      <c r="FS135" s="27"/>
      <c r="FT135" s="25"/>
      <c r="FU135" s="25"/>
      <c r="FV135" s="25"/>
      <c r="FW135" s="25"/>
      <c r="FX135" s="25"/>
      <c r="FY135" s="27"/>
      <c r="FZ135" s="47" t="s">
        <v>145</v>
      </c>
      <c r="GA135" s="47" t="s">
        <v>146</v>
      </c>
      <c r="GB135" s="47" t="s">
        <v>147</v>
      </c>
      <c r="GC135" s="23"/>
    </row>
    <row r="136" spans="1:185" s="83" customFormat="1" x14ac:dyDescent="0.3">
      <c r="A136" s="4"/>
      <c r="B136" s="75"/>
      <c r="C136" s="94"/>
      <c r="D136" s="75" t="s">
        <v>125</v>
      </c>
      <c r="E136" s="114">
        <v>3</v>
      </c>
      <c r="F136" s="114"/>
      <c r="G136" s="75"/>
      <c r="H136" s="75"/>
      <c r="I136" s="75"/>
      <c r="J136" s="75"/>
      <c r="K136" s="75"/>
      <c r="L136" s="75"/>
      <c r="M136" s="75"/>
      <c r="N136" s="75"/>
      <c r="O136" s="75"/>
      <c r="P136" s="75"/>
      <c r="Q136" s="32">
        <f>(Q33+Q66+Q67+Q75+Q76)/5</f>
        <v>13586.197353146632</v>
      </c>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32">
        <f>(CH41+CH42+CH48)/3</f>
        <v>1129.5746359389052</v>
      </c>
      <c r="CI136" s="75"/>
      <c r="CJ136" s="75"/>
      <c r="CK136" s="32">
        <f>CK33</f>
        <v>95.335094786729854</v>
      </c>
      <c r="CL136" s="75"/>
      <c r="CM136" s="75"/>
      <c r="CN136" s="32">
        <f>(CN47+CN48)/2</f>
        <v>40.298288009888758</v>
      </c>
      <c r="CO136" s="75"/>
      <c r="CP136" s="114"/>
      <c r="CQ136" s="32">
        <f>CK136+CN136</f>
        <v>135.6333827966186</v>
      </c>
      <c r="CR136" s="114"/>
      <c r="CS136" s="114"/>
      <c r="CT136" s="75"/>
      <c r="CU136" s="75"/>
      <c r="CV136" s="75"/>
      <c r="CW136" s="75"/>
      <c r="CX136" s="75"/>
      <c r="CY136" s="75"/>
      <c r="CZ136" s="75"/>
      <c r="DA136" s="75"/>
      <c r="DB136" s="75"/>
      <c r="DC136" s="75"/>
      <c r="DD136" s="75"/>
      <c r="DE136" s="75"/>
      <c r="DF136" s="75"/>
      <c r="DG136" s="75"/>
      <c r="DH136" s="75"/>
      <c r="DI136" s="24">
        <f>((DI41+DI50+DI59)/3)</f>
        <v>73268.689935226794</v>
      </c>
      <c r="DJ136" s="75"/>
      <c r="DK136" s="75"/>
      <c r="DL136" s="75"/>
      <c r="DM136" s="75"/>
      <c r="DN136" s="75"/>
      <c r="DO136" s="75"/>
      <c r="DP136" s="75"/>
      <c r="DQ136" s="75"/>
      <c r="DR136" s="75"/>
      <c r="DS136" s="75"/>
      <c r="DT136" s="75"/>
      <c r="DU136" s="32">
        <f>0</f>
        <v>0</v>
      </c>
      <c r="DV136" s="75"/>
      <c r="DW136" s="75"/>
      <c r="DX136" s="75"/>
      <c r="DY136" s="75"/>
      <c r="DZ136" s="75"/>
      <c r="EA136" s="75"/>
      <c r="EB136" s="75"/>
      <c r="EC136" s="75"/>
      <c r="ED136" s="75"/>
      <c r="EE136" s="75"/>
      <c r="EF136" s="75"/>
      <c r="EG136" s="75"/>
      <c r="EH136" s="75"/>
      <c r="EI136" s="75"/>
      <c r="EJ136" s="75"/>
      <c r="EK136" s="75"/>
      <c r="EL136" s="75"/>
      <c r="EM136" s="32">
        <f>(EM41+EM44+EM50)/3</f>
        <v>15047.393044970298</v>
      </c>
      <c r="EN136" s="75"/>
      <c r="EO136" s="75"/>
      <c r="EP136" s="32">
        <f>(EP7+EP33+EP75)/3</f>
        <v>7517.6317448200643</v>
      </c>
      <c r="EQ136" s="75"/>
      <c r="ER136" s="75"/>
      <c r="ES136" s="32">
        <f>ES6</f>
        <v>6215.0468314424197</v>
      </c>
      <c r="ET136" s="75"/>
      <c r="EU136" s="75"/>
      <c r="EV136" s="32">
        <f>(EV33+EV75+EV76)/3</f>
        <v>577.00967320820553</v>
      </c>
      <c r="EW136" s="75"/>
      <c r="EX136" s="114"/>
      <c r="EY136" s="32">
        <f>EP136+ES136+EV136</f>
        <v>14309.68824947069</v>
      </c>
      <c r="EZ136" s="114"/>
      <c r="FA136" s="114"/>
      <c r="FB136" s="32">
        <f>FB7</f>
        <v>63370.591285403039</v>
      </c>
      <c r="FC136" s="75"/>
      <c r="FD136" s="75"/>
      <c r="FE136" s="32">
        <f>FE6</f>
        <v>170.48960126114636</v>
      </c>
      <c r="FF136" s="75"/>
      <c r="FG136" s="75"/>
      <c r="FH136" s="32">
        <f>FH7</f>
        <v>14199.535175879397</v>
      </c>
      <c r="FI136" s="75"/>
      <c r="FJ136" s="114"/>
      <c r="FK136" s="32">
        <f>FB136+FE136+FH136</f>
        <v>77740.616062543588</v>
      </c>
      <c r="FL136" s="114"/>
      <c r="FM136" s="114"/>
      <c r="FN136" s="32">
        <f>(FN33+FN75+FN76)/3</f>
        <v>2245.1434816249853</v>
      </c>
      <c r="FO136" s="75"/>
      <c r="FP136" s="75"/>
      <c r="FQ136" s="32">
        <f>(FQ33+FQ75+FQ76)/3</f>
        <v>29892.205248723843</v>
      </c>
      <c r="FR136" s="75"/>
      <c r="FS136" s="75"/>
      <c r="FT136" s="32">
        <f>0</f>
        <v>0</v>
      </c>
      <c r="FU136" s="114"/>
      <c r="FV136" s="116"/>
      <c r="FW136" s="32">
        <f t="shared" si="23"/>
        <v>32137.348730348829</v>
      </c>
      <c r="FX136" s="116"/>
      <c r="FY136" s="23"/>
      <c r="FZ136" s="32">
        <f>Q136+CH136+CK136+CN136</f>
        <v>14851.405371882154</v>
      </c>
      <c r="GA136" s="32">
        <f>DI136+DU136+EM136+EP136+ES136+EV136+FB136+FE136+FH136+FN136+FQ136+FT136</f>
        <v>212503.73602256022</v>
      </c>
      <c r="GB136" s="32">
        <f>FZ136+GA136</f>
        <v>227355.14139444238</v>
      </c>
      <c r="GC136" s="23"/>
    </row>
    <row r="137" spans="1:185" s="83" customFormat="1" x14ac:dyDescent="0.3">
      <c r="A137" s="4"/>
      <c r="B137" s="75"/>
      <c r="C137" s="94"/>
      <c r="D137" s="75" t="s">
        <v>126</v>
      </c>
      <c r="E137" s="114">
        <v>3</v>
      </c>
      <c r="F137" s="114"/>
      <c r="G137" s="75"/>
      <c r="H137" s="75"/>
      <c r="I137" s="75"/>
      <c r="J137" s="75"/>
      <c r="K137" s="75"/>
      <c r="L137" s="75"/>
      <c r="M137" s="75"/>
      <c r="N137" s="75"/>
      <c r="O137" s="75"/>
      <c r="P137" s="75"/>
      <c r="Q137" s="32">
        <f>(Q33+Q66+Q67+Q75+Q76)/5</f>
        <v>13586.197353146632</v>
      </c>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32">
        <f>(CH41+CH42+CH48)/3</f>
        <v>1129.5746359389052</v>
      </c>
      <c r="CI137" s="75"/>
      <c r="CJ137" s="75"/>
      <c r="CK137" s="32">
        <f>CK33</f>
        <v>95.335094786729854</v>
      </c>
      <c r="CL137" s="75"/>
      <c r="CM137" s="75"/>
      <c r="CN137" s="32">
        <f>(CN47+CN48)/2</f>
        <v>40.298288009888758</v>
      </c>
      <c r="CO137" s="75"/>
      <c r="CP137" s="114"/>
      <c r="CQ137" s="32">
        <f>CK137+CN137</f>
        <v>135.6333827966186</v>
      </c>
      <c r="CR137" s="114"/>
      <c r="CS137" s="114"/>
      <c r="CT137" s="75"/>
      <c r="CU137" s="75"/>
      <c r="CV137" s="75"/>
      <c r="CW137" s="75"/>
      <c r="CX137" s="75"/>
      <c r="CY137" s="75"/>
      <c r="CZ137" s="75"/>
      <c r="DA137" s="75"/>
      <c r="DB137" s="75"/>
      <c r="DC137" s="75"/>
      <c r="DD137" s="75"/>
      <c r="DE137" s="75"/>
      <c r="DF137" s="75"/>
      <c r="DG137" s="75"/>
      <c r="DH137" s="75"/>
      <c r="DI137" s="24">
        <f>((DI41+DI51+DI59)/3)</f>
        <v>81459.28813574095</v>
      </c>
      <c r="DJ137" s="75"/>
      <c r="DK137" s="75"/>
      <c r="DL137" s="75"/>
      <c r="DM137" s="75"/>
      <c r="DN137" s="75"/>
      <c r="DO137" s="75"/>
      <c r="DP137" s="75"/>
      <c r="DQ137" s="75"/>
      <c r="DR137" s="75"/>
      <c r="DS137" s="75"/>
      <c r="DT137" s="75"/>
      <c r="DU137" s="32">
        <f>0</f>
        <v>0</v>
      </c>
      <c r="DV137" s="75"/>
      <c r="DW137" s="75"/>
      <c r="DX137" s="75"/>
      <c r="DY137" s="75"/>
      <c r="DZ137" s="75"/>
      <c r="EA137" s="75"/>
      <c r="EB137" s="75"/>
      <c r="EC137" s="75"/>
      <c r="ED137" s="75"/>
      <c r="EE137" s="75"/>
      <c r="EF137" s="75"/>
      <c r="EG137" s="75"/>
      <c r="EH137" s="75"/>
      <c r="EI137" s="75"/>
      <c r="EJ137" s="75"/>
      <c r="EK137" s="75"/>
      <c r="EL137" s="75"/>
      <c r="EM137" s="32">
        <f>(EM41+EM44+EM51)/3</f>
        <v>14491.050525690094</v>
      </c>
      <c r="EN137" s="75"/>
      <c r="EO137" s="75"/>
      <c r="EP137" s="32">
        <f>(EP8+EP33+EP75)/3</f>
        <v>7121.8895704948636</v>
      </c>
      <c r="EQ137" s="75"/>
      <c r="ER137" s="75"/>
      <c r="ES137" s="32">
        <f>ES6</f>
        <v>6215.0468314424197</v>
      </c>
      <c r="ET137" s="75"/>
      <c r="EU137" s="75"/>
      <c r="EV137" s="32">
        <f>(EV33+EV75+EV76)/3</f>
        <v>577.00967320820553</v>
      </c>
      <c r="EW137" s="75"/>
      <c r="EX137" s="114"/>
      <c r="EY137" s="32">
        <f>EP137+ES137+EV137</f>
        <v>13913.94607514549</v>
      </c>
      <c r="EZ137" s="114"/>
      <c r="FA137" s="114"/>
      <c r="FB137" s="32">
        <f>FB8</f>
        <v>75259.174727668826</v>
      </c>
      <c r="FC137" s="75"/>
      <c r="FD137" s="75"/>
      <c r="FE137" s="32">
        <f>FE6</f>
        <v>170.48960126114636</v>
      </c>
      <c r="FF137" s="75"/>
      <c r="FG137" s="75"/>
      <c r="FH137" s="32">
        <f>FH8</f>
        <v>23145.11306532663</v>
      </c>
      <c r="FI137" s="75"/>
      <c r="FJ137" s="114"/>
      <c r="FK137" s="32">
        <f>FB142+FE142+FH142</f>
        <v>101104.84945899362</v>
      </c>
      <c r="FL137" s="114"/>
      <c r="FM137" s="114"/>
      <c r="FN137" s="32">
        <f>(FN33+FN75+FN76)/3</f>
        <v>2245.1434816249853</v>
      </c>
      <c r="FO137" s="75"/>
      <c r="FP137" s="75"/>
      <c r="FQ137" s="32">
        <f>(FQ33+FQ75+FQ76)/3</f>
        <v>29892.205248723843</v>
      </c>
      <c r="FR137" s="75"/>
      <c r="FS137" s="75"/>
      <c r="FT137" s="32">
        <f>0</f>
        <v>0</v>
      </c>
      <c r="FU137" s="114"/>
      <c r="FV137" s="116"/>
      <c r="FW137" s="32">
        <f t="shared" si="23"/>
        <v>32137.348730348829</v>
      </c>
      <c r="FX137" s="116"/>
      <c r="FY137" s="23"/>
      <c r="FZ137" s="32">
        <f>Q137+CH137+CK137+CN137</f>
        <v>14851.405371882154</v>
      </c>
      <c r="GA137" s="32">
        <f>DI137+DU137+EM137+EP137+ES137+EV137+FB137+FE137+FH137+FN137+FQ137+FT137</f>
        <v>240576.410861182</v>
      </c>
      <c r="GB137" s="32">
        <f>FZ137+GA137</f>
        <v>255427.81623306416</v>
      </c>
      <c r="GC137" s="23"/>
    </row>
    <row r="138" spans="1:185" s="83" customFormat="1" x14ac:dyDescent="0.3">
      <c r="A138" s="4"/>
      <c r="B138" s="75"/>
      <c r="C138" s="94"/>
      <c r="D138" s="75" t="s">
        <v>148</v>
      </c>
      <c r="E138" s="114">
        <v>3</v>
      </c>
      <c r="F138" s="114"/>
      <c r="G138" s="75"/>
      <c r="H138" s="75"/>
      <c r="I138" s="75"/>
      <c r="J138" s="75"/>
      <c r="K138" s="75"/>
      <c r="L138" s="75"/>
      <c r="M138" s="75"/>
      <c r="N138" s="75"/>
      <c r="O138" s="75"/>
      <c r="P138" s="75"/>
      <c r="Q138" s="32">
        <f>(Q33+Q66+Q67+Q75+Q76)/5</f>
        <v>13586.197353146632</v>
      </c>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c r="BN138" s="75"/>
      <c r="BO138" s="75"/>
      <c r="BP138" s="75"/>
      <c r="BQ138" s="75"/>
      <c r="BR138" s="75"/>
      <c r="BS138" s="75"/>
      <c r="BT138" s="75"/>
      <c r="BU138" s="75"/>
      <c r="BV138" s="75"/>
      <c r="BW138" s="75"/>
      <c r="BX138" s="75"/>
      <c r="BY138" s="75"/>
      <c r="BZ138" s="75"/>
      <c r="CA138" s="75"/>
      <c r="CB138" s="75"/>
      <c r="CC138" s="75"/>
      <c r="CD138" s="75"/>
      <c r="CE138" s="75"/>
      <c r="CF138" s="75"/>
      <c r="CG138" s="75"/>
      <c r="CH138" s="32">
        <f>(CH22+CH54+CH55+CH57)/4</f>
        <v>2966.2683430620486</v>
      </c>
      <c r="CI138" s="75"/>
      <c r="CJ138" s="75"/>
      <c r="CK138" s="32">
        <f>CK33</f>
        <v>95.335094786729854</v>
      </c>
      <c r="CL138" s="75"/>
      <c r="CM138" s="75"/>
      <c r="CN138" s="32">
        <f>(CN54+CN55)/2</f>
        <v>186.88880829015545</v>
      </c>
      <c r="CO138" s="75"/>
      <c r="CP138" s="114"/>
      <c r="CQ138" s="32">
        <f>CK138+CN138</f>
        <v>282.22390307688534</v>
      </c>
      <c r="CR138" s="114"/>
      <c r="CS138" s="114"/>
      <c r="CT138" s="75"/>
      <c r="CU138" s="75"/>
      <c r="CV138" s="75"/>
      <c r="CW138" s="75"/>
      <c r="CX138" s="75"/>
      <c r="CY138" s="75"/>
      <c r="CZ138" s="75"/>
      <c r="DA138" s="75"/>
      <c r="DB138" s="75"/>
      <c r="DC138" s="75"/>
      <c r="DD138" s="75"/>
      <c r="DE138" s="75"/>
      <c r="DF138" s="75"/>
      <c r="DG138" s="75"/>
      <c r="DH138" s="75"/>
      <c r="DI138" s="24">
        <f>((DI52+DI55+DI59)/3)</f>
        <v>80047.822238680863</v>
      </c>
      <c r="DJ138" s="75"/>
      <c r="DK138" s="75"/>
      <c r="DL138" s="75"/>
      <c r="DM138" s="75"/>
      <c r="DN138" s="75"/>
      <c r="DO138" s="75"/>
      <c r="DP138" s="75"/>
      <c r="DQ138" s="75"/>
      <c r="DR138" s="75"/>
      <c r="DS138" s="75"/>
      <c r="DT138" s="75"/>
      <c r="DU138" s="32">
        <f>0</f>
        <v>0</v>
      </c>
      <c r="DV138" s="75"/>
      <c r="DW138" s="75"/>
      <c r="DX138" s="75"/>
      <c r="DY138" s="75"/>
      <c r="DZ138" s="75"/>
      <c r="EA138" s="75"/>
      <c r="EB138" s="75"/>
      <c r="EC138" s="75"/>
      <c r="ED138" s="75"/>
      <c r="EE138" s="75"/>
      <c r="EF138" s="75"/>
      <c r="EG138" s="75"/>
      <c r="EH138" s="75"/>
      <c r="EI138" s="75"/>
      <c r="EJ138" s="75"/>
      <c r="EK138" s="75"/>
      <c r="EL138" s="75"/>
      <c r="EM138" s="32">
        <f>(EM55+EM57)/2</f>
        <v>6872.0930357179341</v>
      </c>
      <c r="EN138" s="75"/>
      <c r="EO138" s="75"/>
      <c r="EP138" s="32">
        <f>(EP9+EP33+EP75)/3</f>
        <v>7863.4737389770717</v>
      </c>
      <c r="EQ138" s="75"/>
      <c r="ER138" s="75"/>
      <c r="ES138" s="32">
        <f>ES6</f>
        <v>6215.0468314424197</v>
      </c>
      <c r="ET138" s="75"/>
      <c r="EU138" s="75"/>
      <c r="EV138" s="32">
        <f>(EV33+EV75+EV76)/3</f>
        <v>577.00967320820553</v>
      </c>
      <c r="EW138" s="75"/>
      <c r="EX138" s="114"/>
      <c r="EY138" s="32">
        <f>EP138+ES138+EV138</f>
        <v>14655.530243627698</v>
      </c>
      <c r="EZ138" s="114"/>
      <c r="FA138" s="114"/>
      <c r="FB138" s="32">
        <f>(FB9+FB48)/2</f>
        <v>92436.364003734823</v>
      </c>
      <c r="FC138" s="75"/>
      <c r="FD138" s="75"/>
      <c r="FE138" s="32">
        <f>FE6</f>
        <v>170.48960126114636</v>
      </c>
      <c r="FF138" s="75"/>
      <c r="FG138" s="75"/>
      <c r="FH138" s="32">
        <f>FH9</f>
        <v>16591.055276381911</v>
      </c>
      <c r="FI138" s="75"/>
      <c r="FJ138" s="114"/>
      <c r="FK138" s="32">
        <f>FB138+FE138+FH138</f>
        <v>109197.90888137788</v>
      </c>
      <c r="FL138" s="114"/>
      <c r="FM138" s="114"/>
      <c r="FN138" s="32">
        <f>(FN33+FN75+FN76)/3</f>
        <v>2245.1434816249853</v>
      </c>
      <c r="FO138" s="75"/>
      <c r="FP138" s="75"/>
      <c r="FQ138" s="32">
        <f>(FQ33+FQ75+FQ76)/3</f>
        <v>29892.205248723843</v>
      </c>
      <c r="FR138" s="75"/>
      <c r="FS138" s="75"/>
      <c r="FT138" s="32">
        <f>0</f>
        <v>0</v>
      </c>
      <c r="FU138" s="114"/>
      <c r="FV138" s="116"/>
      <c r="FW138" s="32">
        <f t="shared" si="23"/>
        <v>32137.348730348829</v>
      </c>
      <c r="FX138" s="116"/>
      <c r="FY138" s="23"/>
      <c r="FZ138" s="32">
        <f>Q138+CH138+CK138+CN138</f>
        <v>16834.689599285564</v>
      </c>
      <c r="GA138" s="32">
        <f>DI138+DU138+EM138+EP138+ES138+EV138+FB138+FE138+FH138+FN138+FQ138+FT138</f>
        <v>242910.70312975321</v>
      </c>
      <c r="GB138" s="32">
        <f>FZ138+GA138</f>
        <v>259745.39272903878</v>
      </c>
      <c r="GC138" s="23"/>
    </row>
    <row r="139" spans="1:185" s="83" customFormat="1" x14ac:dyDescent="0.3">
      <c r="A139" s="4"/>
      <c r="B139" s="23"/>
      <c r="C139" s="23"/>
      <c r="D139" s="23"/>
      <c r="E139" s="23"/>
      <c r="F139" s="23"/>
      <c r="G139" s="23"/>
      <c r="H139" s="23"/>
      <c r="I139" s="23"/>
      <c r="J139" s="23"/>
      <c r="K139" s="23"/>
      <c r="L139" s="23"/>
      <c r="M139" s="23"/>
      <c r="N139" s="23"/>
      <c r="O139" s="23"/>
      <c r="P139" s="23"/>
      <c r="Q139" s="31"/>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31"/>
      <c r="CI139" s="23"/>
      <c r="CJ139" s="23"/>
      <c r="CK139" s="31"/>
      <c r="CL139" s="23"/>
      <c r="CM139" s="23"/>
      <c r="CN139" s="31"/>
      <c r="CO139" s="23"/>
      <c r="CP139" s="23"/>
      <c r="CQ139" s="23"/>
      <c r="CR139" s="23"/>
      <c r="CS139" s="23"/>
      <c r="CT139" s="23"/>
      <c r="CU139" s="23"/>
      <c r="CV139" s="23"/>
      <c r="CW139" s="23"/>
      <c r="CX139" s="23"/>
      <c r="CY139" s="23"/>
      <c r="CZ139" s="23"/>
      <c r="DA139" s="23"/>
      <c r="DB139" s="23"/>
      <c r="DC139" s="23"/>
      <c r="DD139" s="23"/>
      <c r="DE139" s="23"/>
      <c r="DF139" s="23"/>
      <c r="DG139" s="23"/>
      <c r="DH139" s="23"/>
      <c r="DI139" s="31"/>
      <c r="DJ139" s="23"/>
      <c r="DK139" s="23"/>
      <c r="DL139" s="23"/>
      <c r="DM139" s="23"/>
      <c r="DN139" s="23"/>
      <c r="DO139" s="23"/>
      <c r="DP139" s="23"/>
      <c r="DQ139" s="23"/>
      <c r="DR139" s="23"/>
      <c r="DS139" s="23"/>
      <c r="DT139" s="23"/>
      <c r="DU139" s="31"/>
      <c r="DV139" s="23"/>
      <c r="DW139" s="23"/>
      <c r="DX139" s="23"/>
      <c r="DY139" s="23"/>
      <c r="DZ139" s="23"/>
      <c r="EA139" s="23"/>
      <c r="EB139" s="23"/>
      <c r="EC139" s="23"/>
      <c r="ED139" s="23"/>
      <c r="EE139" s="23"/>
      <c r="EF139" s="23"/>
      <c r="EG139" s="23"/>
      <c r="EH139" s="23"/>
      <c r="EI139" s="23"/>
      <c r="EJ139" s="23"/>
      <c r="EK139" s="23"/>
      <c r="EL139" s="23"/>
      <c r="EM139" s="31"/>
      <c r="EN139" s="23"/>
      <c r="EO139" s="23"/>
      <c r="EP139" s="31"/>
      <c r="EQ139" s="23"/>
      <c r="ER139" s="23"/>
      <c r="ES139" s="31"/>
      <c r="ET139" s="23"/>
      <c r="EU139" s="23"/>
      <c r="EV139" s="31"/>
      <c r="EW139" s="23"/>
      <c r="EX139" s="23"/>
      <c r="EY139" s="23"/>
      <c r="EZ139" s="23"/>
      <c r="FA139" s="23"/>
      <c r="FB139" s="31"/>
      <c r="FC139" s="23"/>
      <c r="FD139" s="23"/>
      <c r="FE139" s="31"/>
      <c r="FF139" s="23"/>
      <c r="FG139" s="23"/>
      <c r="FH139" s="31"/>
      <c r="FI139" s="23"/>
      <c r="FJ139" s="23"/>
      <c r="FK139" s="23"/>
      <c r="FL139" s="23"/>
      <c r="FM139" s="23"/>
      <c r="FN139" s="31"/>
      <c r="FO139" s="23"/>
      <c r="FP139" s="23"/>
      <c r="FQ139" s="31"/>
      <c r="FR139" s="23"/>
      <c r="FS139" s="23"/>
      <c r="FT139" s="31"/>
      <c r="FU139" s="31"/>
      <c r="FV139" s="31"/>
      <c r="FW139" s="31"/>
      <c r="FX139" s="31"/>
      <c r="FY139" s="23"/>
      <c r="FZ139" s="31"/>
      <c r="GA139" s="16" t="s">
        <v>191</v>
      </c>
      <c r="GB139" s="31"/>
      <c r="GC139" s="23"/>
    </row>
    <row r="140" spans="1:185" s="83" customFormat="1" x14ac:dyDescent="0.3">
      <c r="A140" s="4"/>
      <c r="B140" s="27"/>
      <c r="C140" s="27"/>
      <c r="D140" s="27"/>
      <c r="E140" s="27"/>
      <c r="F140" s="27"/>
      <c r="G140" s="27"/>
      <c r="H140" s="27"/>
      <c r="I140" s="27"/>
      <c r="J140" s="27"/>
      <c r="K140" s="27"/>
      <c r="L140" s="27"/>
      <c r="M140" s="27"/>
      <c r="N140" s="27"/>
      <c r="O140" s="27"/>
      <c r="P140" s="27"/>
      <c r="Q140" s="25"/>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5"/>
      <c r="CI140" s="27"/>
      <c r="CJ140" s="27"/>
      <c r="CK140" s="25"/>
      <c r="CL140" s="27"/>
      <c r="CM140" s="27"/>
      <c r="CN140" s="25"/>
      <c r="CO140" s="27"/>
      <c r="CP140" s="27"/>
      <c r="CQ140" s="27"/>
      <c r="CR140" s="27"/>
      <c r="CS140" s="27"/>
      <c r="CT140" s="27"/>
      <c r="CU140" s="27"/>
      <c r="CV140" s="27"/>
      <c r="CW140" s="27"/>
      <c r="CX140" s="27"/>
      <c r="CY140" s="27"/>
      <c r="CZ140" s="27"/>
      <c r="DA140" s="27"/>
      <c r="DB140" s="27"/>
      <c r="DC140" s="27"/>
      <c r="DD140" s="27"/>
      <c r="DE140" s="27"/>
      <c r="DF140" s="27"/>
      <c r="DG140" s="27"/>
      <c r="DH140" s="27"/>
      <c r="DI140" s="25"/>
      <c r="DJ140" s="27"/>
      <c r="DK140" s="27"/>
      <c r="DL140" s="27"/>
      <c r="DM140" s="27"/>
      <c r="DN140" s="27"/>
      <c r="DO140" s="27"/>
      <c r="DP140" s="27"/>
      <c r="DQ140" s="27"/>
      <c r="DR140" s="27"/>
      <c r="DS140" s="27"/>
      <c r="DT140" s="27"/>
      <c r="DU140" s="25"/>
      <c r="DV140" s="27"/>
      <c r="DW140" s="27"/>
      <c r="DX140" s="27"/>
      <c r="DY140" s="27"/>
      <c r="DZ140" s="27"/>
      <c r="EA140" s="27"/>
      <c r="EB140" s="27"/>
      <c r="EC140" s="27"/>
      <c r="ED140" s="27"/>
      <c r="EE140" s="27"/>
      <c r="EF140" s="27"/>
      <c r="EG140" s="27"/>
      <c r="EH140" s="27"/>
      <c r="EI140" s="27"/>
      <c r="EJ140" s="27"/>
      <c r="EK140" s="27"/>
      <c r="EL140" s="27"/>
      <c r="EM140" s="25"/>
      <c r="EN140" s="27"/>
      <c r="EO140" s="27"/>
      <c r="EP140" s="25"/>
      <c r="EQ140" s="27"/>
      <c r="ER140" s="27"/>
      <c r="ES140" s="25"/>
      <c r="ET140" s="27"/>
      <c r="EU140" s="27"/>
      <c r="EV140" s="25"/>
      <c r="EW140" s="27"/>
      <c r="EX140" s="27"/>
      <c r="EY140" s="27"/>
      <c r="EZ140" s="27"/>
      <c r="FA140" s="27"/>
      <c r="FB140" s="25"/>
      <c r="FC140" s="27"/>
      <c r="FD140" s="27"/>
      <c r="FE140" s="25"/>
      <c r="FF140" s="27"/>
      <c r="FG140" s="27"/>
      <c r="FH140" s="25"/>
      <c r="FI140" s="27"/>
      <c r="FJ140" s="27"/>
      <c r="FK140" s="27"/>
      <c r="FL140" s="27"/>
      <c r="FM140" s="27"/>
      <c r="FN140" s="25"/>
      <c r="FO140" s="27"/>
      <c r="FP140" s="27"/>
      <c r="FQ140" s="25"/>
      <c r="FR140" s="27"/>
      <c r="FS140" s="27"/>
      <c r="FT140" s="25"/>
      <c r="FU140" s="25"/>
      <c r="FV140" s="25"/>
      <c r="FW140" s="25"/>
      <c r="FX140" s="25"/>
      <c r="FY140" s="27"/>
      <c r="FZ140" s="47" t="s">
        <v>145</v>
      </c>
      <c r="GA140" s="47" t="s">
        <v>146</v>
      </c>
      <c r="GB140" s="47" t="s">
        <v>147</v>
      </c>
      <c r="GC140" s="23"/>
    </row>
    <row r="141" spans="1:185" s="83" customFormat="1" x14ac:dyDescent="0.3">
      <c r="A141" s="4"/>
      <c r="B141" s="75"/>
      <c r="C141" s="94"/>
      <c r="D141" s="75" t="s">
        <v>125</v>
      </c>
      <c r="E141" s="75">
        <v>3</v>
      </c>
      <c r="F141" s="75"/>
      <c r="G141" s="75"/>
      <c r="H141" s="75"/>
      <c r="I141" s="75"/>
      <c r="J141" s="75"/>
      <c r="K141" s="75"/>
      <c r="L141" s="75"/>
      <c r="M141" s="75"/>
      <c r="N141" s="75"/>
      <c r="O141" s="75"/>
      <c r="P141" s="75"/>
      <c r="Q141" s="32">
        <f>Q76</f>
        <v>31076.44456404736</v>
      </c>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c r="CH141" s="32">
        <f>CH44</f>
        <v>2110.2906403940888</v>
      </c>
      <c r="CI141" s="75"/>
      <c r="CJ141" s="75"/>
      <c r="CK141" s="32">
        <f>CK33</f>
        <v>95.335094786729854</v>
      </c>
      <c r="CL141" s="75"/>
      <c r="CM141" s="75"/>
      <c r="CN141" s="32">
        <f>CN47</f>
        <v>54.874264524103836</v>
      </c>
      <c r="CO141" s="75"/>
      <c r="CP141" s="114"/>
      <c r="CQ141" s="32">
        <f>CK141+CN141</f>
        <v>150.20935931083369</v>
      </c>
      <c r="CR141" s="114"/>
      <c r="CS141" s="114"/>
      <c r="CT141" s="75"/>
      <c r="CU141" s="75"/>
      <c r="CV141" s="75"/>
      <c r="CW141" s="75"/>
      <c r="CX141" s="75"/>
      <c r="CY141" s="75"/>
      <c r="CZ141" s="75"/>
      <c r="DA141" s="75"/>
      <c r="DB141" s="75"/>
      <c r="DC141" s="75"/>
      <c r="DD141" s="75"/>
      <c r="DE141" s="75"/>
      <c r="DF141" s="75"/>
      <c r="DG141" s="75"/>
      <c r="DH141" s="75"/>
      <c r="DI141" s="24">
        <f>(DI34*(Prop_priv_accom+Prop_Not_stated))+(DI35*Prop_supported)+(DI36*Prop_residential)+(DI37*Prop_hosp)</f>
        <v>86334.799424324665</v>
      </c>
      <c r="DJ141" s="75"/>
      <c r="DK141" s="75"/>
      <c r="DL141" s="75"/>
      <c r="DM141" s="75"/>
      <c r="DN141" s="75"/>
      <c r="DO141" s="75"/>
      <c r="DP141" s="75"/>
      <c r="DQ141" s="75"/>
      <c r="DR141" s="75"/>
      <c r="DS141" s="75"/>
      <c r="DT141" s="75"/>
      <c r="DU141" s="32">
        <f>0</f>
        <v>0</v>
      </c>
      <c r="DV141" s="75"/>
      <c r="DW141" s="75"/>
      <c r="DX141" s="75"/>
      <c r="DY141" s="75"/>
      <c r="DZ141" s="75"/>
      <c r="EA141" s="75"/>
      <c r="EB141" s="75"/>
      <c r="EC141" s="75"/>
      <c r="ED141" s="75"/>
      <c r="EE141" s="75"/>
      <c r="EF141" s="75"/>
      <c r="EG141" s="75"/>
      <c r="EH141" s="75"/>
      <c r="EI141" s="75"/>
      <c r="EJ141" s="75"/>
      <c r="EK141" s="75"/>
      <c r="EL141" s="75"/>
      <c r="EM141" s="32">
        <f>EM48</f>
        <v>15856.94762669963</v>
      </c>
      <c r="EN141" s="75"/>
      <c r="EO141" s="75"/>
      <c r="EP141" s="32">
        <f>(EP33+EP75)/2</f>
        <v>8460.0735714285711</v>
      </c>
      <c r="EQ141" s="75"/>
      <c r="ER141" s="75"/>
      <c r="ES141" s="32">
        <f>ES6</f>
        <v>6215.0468314424197</v>
      </c>
      <c r="ET141" s="75"/>
      <c r="EU141" s="75"/>
      <c r="EV141" s="32">
        <f>EV76</f>
        <v>865.99859105318785</v>
      </c>
      <c r="EW141" s="75"/>
      <c r="EX141" s="114"/>
      <c r="EY141" s="32">
        <f>EP141+ES141+EV141</f>
        <v>15541.118993924179</v>
      </c>
      <c r="EZ141" s="114"/>
      <c r="FA141" s="114"/>
      <c r="FB141" s="32">
        <f>(FB7+FB48)/2</f>
        <v>71844.955071272954</v>
      </c>
      <c r="FC141" s="75"/>
      <c r="FD141" s="75"/>
      <c r="FE141" s="32">
        <f>FE6</f>
        <v>170.48960126114636</v>
      </c>
      <c r="FF141" s="75"/>
      <c r="FG141" s="75"/>
      <c r="FH141" s="32">
        <f>FH7</f>
        <v>14199.535175879397</v>
      </c>
      <c r="FI141" s="75"/>
      <c r="FJ141" s="114"/>
      <c r="FK141" s="32">
        <f>FB141+FE141+FH141</f>
        <v>86214.979848413495</v>
      </c>
      <c r="FL141" s="114"/>
      <c r="FM141" s="114"/>
      <c r="FN141" s="32">
        <f>FN75</f>
        <v>2211.2800000000002</v>
      </c>
      <c r="FO141" s="75"/>
      <c r="FP141" s="75"/>
      <c r="FQ141" s="32">
        <f>FQ75</f>
        <v>38392.731428571424</v>
      </c>
      <c r="FR141" s="75"/>
      <c r="FS141" s="75"/>
      <c r="FT141" s="32">
        <f>0</f>
        <v>0</v>
      </c>
      <c r="FU141" s="114"/>
      <c r="FV141" s="116"/>
      <c r="FW141" s="32">
        <f t="shared" si="23"/>
        <v>40604.011428571423</v>
      </c>
      <c r="FX141" s="116"/>
      <c r="FY141" s="23"/>
      <c r="FZ141" s="32">
        <f>Q141+CH141+CK141+CN141</f>
        <v>33336.944563752288</v>
      </c>
      <c r="GA141" s="32">
        <f>DI141+DU141+EM141+EP141+ES141+EV141+FB141+FE141+FH141+FN141+FQ141+FT141</f>
        <v>244551.85732193341</v>
      </c>
      <c r="GB141" s="32">
        <f>FZ141+GA141</f>
        <v>277888.80188568571</v>
      </c>
      <c r="GC141" s="23"/>
    </row>
    <row r="142" spans="1:185" s="83" customFormat="1" x14ac:dyDescent="0.3">
      <c r="A142" s="4"/>
      <c r="B142" s="75"/>
      <c r="C142" s="94"/>
      <c r="D142" s="75" t="s">
        <v>126</v>
      </c>
      <c r="E142" s="75">
        <v>3</v>
      </c>
      <c r="F142" s="75"/>
      <c r="G142" s="75"/>
      <c r="H142" s="75"/>
      <c r="I142" s="75"/>
      <c r="J142" s="75"/>
      <c r="K142" s="75"/>
      <c r="L142" s="75"/>
      <c r="M142" s="75"/>
      <c r="N142" s="75"/>
      <c r="O142" s="75"/>
      <c r="P142" s="75"/>
      <c r="Q142" s="32">
        <f>Q76</f>
        <v>31076.44456404736</v>
      </c>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32">
        <f>CH44</f>
        <v>2110.2906403940888</v>
      </c>
      <c r="CI142" s="75"/>
      <c r="CJ142" s="75"/>
      <c r="CK142" s="32">
        <f>CK33</f>
        <v>95.335094786729854</v>
      </c>
      <c r="CL142" s="75"/>
      <c r="CM142" s="75"/>
      <c r="CN142" s="32">
        <f>CN47</f>
        <v>54.874264524103836</v>
      </c>
      <c r="CO142" s="75"/>
      <c r="CP142" s="114"/>
      <c r="CQ142" s="32">
        <f>CK142+CN142</f>
        <v>150.20935931083369</v>
      </c>
      <c r="CR142" s="114"/>
      <c r="CS142" s="114"/>
      <c r="CT142" s="75"/>
      <c r="CU142" s="75"/>
      <c r="CV142" s="75"/>
      <c r="CW142" s="75"/>
      <c r="CX142" s="75"/>
      <c r="CY142" s="75"/>
      <c r="CZ142" s="75"/>
      <c r="DA142" s="75"/>
      <c r="DB142" s="75"/>
      <c r="DC142" s="75"/>
      <c r="DD142" s="75"/>
      <c r="DE142" s="75"/>
      <c r="DF142" s="75"/>
      <c r="DG142" s="75"/>
      <c r="DH142" s="75"/>
      <c r="DI142" s="24">
        <f>(DI34*(Prop_priv_accom+Prop_Not_stated))+(DI35*Prop_supported)+(DI36*Prop_residential)+(DI37*Prop_hosp)</f>
        <v>86334.799424324665</v>
      </c>
      <c r="DJ142" s="75"/>
      <c r="DK142" s="75"/>
      <c r="DL142" s="75"/>
      <c r="DM142" s="75"/>
      <c r="DN142" s="75"/>
      <c r="DO142" s="75"/>
      <c r="DP142" s="75"/>
      <c r="DQ142" s="75"/>
      <c r="DR142" s="75"/>
      <c r="DS142" s="75"/>
      <c r="DT142" s="75"/>
      <c r="DU142" s="32">
        <f>0</f>
        <v>0</v>
      </c>
      <c r="DV142" s="75"/>
      <c r="DW142" s="75"/>
      <c r="DX142" s="75"/>
      <c r="DY142" s="75"/>
      <c r="DZ142" s="75"/>
      <c r="EA142" s="75"/>
      <c r="EB142" s="75"/>
      <c r="EC142" s="75"/>
      <c r="ED142" s="75"/>
      <c r="EE142" s="75"/>
      <c r="EF142" s="75"/>
      <c r="EG142" s="75"/>
      <c r="EH142" s="75"/>
      <c r="EI142" s="75"/>
      <c r="EJ142" s="75"/>
      <c r="EK142" s="75"/>
      <c r="EL142" s="75"/>
      <c r="EM142" s="32">
        <f>EM48</f>
        <v>15856.94762669963</v>
      </c>
      <c r="EN142" s="75"/>
      <c r="EO142" s="75"/>
      <c r="EP142" s="32">
        <f>(EP33+EP75)/2</f>
        <v>8460.0735714285711</v>
      </c>
      <c r="EQ142" s="75"/>
      <c r="ER142" s="75"/>
      <c r="ES142" s="32">
        <f>ES6</f>
        <v>6215.0468314424197</v>
      </c>
      <c r="ET142" s="75"/>
      <c r="EU142" s="75"/>
      <c r="EV142" s="32">
        <f>EV76</f>
        <v>865.99859105318785</v>
      </c>
      <c r="EW142" s="75"/>
      <c r="EX142" s="114"/>
      <c r="EY142" s="32">
        <f>EP142+ES142+EV142</f>
        <v>15541.118993924179</v>
      </c>
      <c r="EZ142" s="114"/>
      <c r="FA142" s="114"/>
      <c r="FB142" s="32">
        <f>(FB8+FB48)/2</f>
        <v>77789.246792405844</v>
      </c>
      <c r="FC142" s="75"/>
      <c r="FD142" s="75"/>
      <c r="FE142" s="32">
        <f>FE6</f>
        <v>170.48960126114636</v>
      </c>
      <c r="FF142" s="75"/>
      <c r="FG142" s="75"/>
      <c r="FH142" s="32">
        <f>FH8</f>
        <v>23145.11306532663</v>
      </c>
      <c r="FI142" s="75"/>
      <c r="FJ142" s="114"/>
      <c r="FK142" s="32">
        <f>FB137+FE137+FH137</f>
        <v>98574.777394256598</v>
      </c>
      <c r="FL142" s="114"/>
      <c r="FM142" s="114"/>
      <c r="FN142" s="32">
        <f>FN75</f>
        <v>2211.2800000000002</v>
      </c>
      <c r="FO142" s="75"/>
      <c r="FP142" s="75"/>
      <c r="FQ142" s="32">
        <f>FQ75</f>
        <v>38392.731428571424</v>
      </c>
      <c r="FR142" s="75"/>
      <c r="FS142" s="75"/>
      <c r="FT142" s="32">
        <f>0</f>
        <v>0</v>
      </c>
      <c r="FU142" s="114"/>
      <c r="FV142" s="116"/>
      <c r="FW142" s="32">
        <f t="shared" si="23"/>
        <v>40604.011428571423</v>
      </c>
      <c r="FX142" s="116"/>
      <c r="FY142" s="23"/>
      <c r="FZ142" s="32">
        <f>Q142+CH142+CK142+CN142</f>
        <v>33336.944563752288</v>
      </c>
      <c r="GA142" s="32">
        <f>DI142+DU142+EM142+EP142+ES142+EV142+FB142+FE142+FH142+FN142+FQ142+FT142</f>
        <v>259441.72693251353</v>
      </c>
      <c r="GB142" s="32">
        <f>FZ142+GA142</f>
        <v>292778.6714962658</v>
      </c>
      <c r="GC142" s="23"/>
    </row>
    <row r="143" spans="1:185" s="83" customFormat="1" x14ac:dyDescent="0.3">
      <c r="A143" s="4"/>
      <c r="B143" s="75"/>
      <c r="C143" s="94"/>
      <c r="D143" s="75" t="s">
        <v>148</v>
      </c>
      <c r="E143" s="75">
        <v>3</v>
      </c>
      <c r="F143" s="75"/>
      <c r="G143" s="75"/>
      <c r="H143" s="75"/>
      <c r="I143" s="75"/>
      <c r="J143" s="75"/>
      <c r="K143" s="75"/>
      <c r="L143" s="75"/>
      <c r="M143" s="75"/>
      <c r="N143" s="75"/>
      <c r="O143" s="75"/>
      <c r="P143" s="75"/>
      <c r="Q143" s="32">
        <f>Q76</f>
        <v>31076.44456404736</v>
      </c>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c r="BM143" s="75"/>
      <c r="BN143" s="75"/>
      <c r="BO143" s="75"/>
      <c r="BP143" s="75"/>
      <c r="BQ143" s="75"/>
      <c r="BR143" s="75"/>
      <c r="BS143" s="75"/>
      <c r="BT143" s="75"/>
      <c r="BU143" s="75"/>
      <c r="BV143" s="75"/>
      <c r="BW143" s="75"/>
      <c r="BX143" s="75"/>
      <c r="BY143" s="75"/>
      <c r="BZ143" s="75"/>
      <c r="CA143" s="75"/>
      <c r="CB143" s="75"/>
      <c r="CC143" s="75"/>
      <c r="CD143" s="75"/>
      <c r="CE143" s="75"/>
      <c r="CF143" s="75"/>
      <c r="CG143" s="75"/>
      <c r="CH143" s="32">
        <f>(CH22+CH54)/2</f>
        <v>4002.0686180993407</v>
      </c>
      <c r="CI143" s="75"/>
      <c r="CJ143" s="75"/>
      <c r="CK143" s="32">
        <f>CK33</f>
        <v>95.335094786729854</v>
      </c>
      <c r="CL143" s="75"/>
      <c r="CM143" s="75"/>
      <c r="CN143" s="32">
        <f>CN54</f>
        <v>280.33321243523318</v>
      </c>
      <c r="CO143" s="75"/>
      <c r="CP143" s="114"/>
      <c r="CQ143" s="32">
        <f>CK143+CN143</f>
        <v>375.668307221963</v>
      </c>
      <c r="CR143" s="114"/>
      <c r="CS143" s="114"/>
      <c r="CT143" s="75"/>
      <c r="CU143" s="75"/>
      <c r="CV143" s="75"/>
      <c r="CW143" s="75"/>
      <c r="CX143" s="75"/>
      <c r="CY143" s="75"/>
      <c r="CZ143" s="75"/>
      <c r="DA143" s="75"/>
      <c r="DB143" s="75"/>
      <c r="DC143" s="75"/>
      <c r="DD143" s="75"/>
      <c r="DE143" s="75"/>
      <c r="DF143" s="75"/>
      <c r="DG143" s="75"/>
      <c r="DH143" s="75"/>
      <c r="DI143" s="24">
        <f>(DI34*Prop_priv_accom)+(DI35*Prop_supported)+(DI36*Prop_residential)+(DI37*(Prop_hosp+Prop_Not_stated))</f>
        <v>91881.62535821092</v>
      </c>
      <c r="DJ143" s="75"/>
      <c r="DK143" s="75"/>
      <c r="DL143" s="75"/>
      <c r="DM143" s="75"/>
      <c r="DN143" s="75"/>
      <c r="DO143" s="75"/>
      <c r="DP143" s="75"/>
      <c r="DQ143" s="75"/>
      <c r="DR143" s="75"/>
      <c r="DS143" s="75"/>
      <c r="DT143" s="75"/>
      <c r="DU143" s="32">
        <f>0</f>
        <v>0</v>
      </c>
      <c r="DV143" s="75"/>
      <c r="DW143" s="75"/>
      <c r="DX143" s="75"/>
      <c r="DY143" s="75"/>
      <c r="DZ143" s="75"/>
      <c r="EA143" s="75"/>
      <c r="EB143" s="75"/>
      <c r="EC143" s="75"/>
      <c r="ED143" s="75"/>
      <c r="EE143" s="75"/>
      <c r="EF143" s="75"/>
      <c r="EG143" s="75"/>
      <c r="EH143" s="75"/>
      <c r="EI143" s="75"/>
      <c r="EJ143" s="75"/>
      <c r="EK143" s="75"/>
      <c r="EL143" s="75"/>
      <c r="EM143" s="32">
        <f>EM54</f>
        <v>9344.4404145077715</v>
      </c>
      <c r="EN143" s="75"/>
      <c r="EO143" s="75"/>
      <c r="EP143" s="32">
        <f>(EP33+EP75)/2</f>
        <v>8460.0735714285711</v>
      </c>
      <c r="EQ143" s="75"/>
      <c r="ER143" s="75"/>
      <c r="ES143" s="32">
        <f>ES6</f>
        <v>6215.0468314424197</v>
      </c>
      <c r="ET143" s="75"/>
      <c r="EU143" s="75"/>
      <c r="EV143" s="32">
        <f>EV76</f>
        <v>865.99859105318785</v>
      </c>
      <c r="EW143" s="75"/>
      <c r="EX143" s="114"/>
      <c r="EY143" s="32">
        <f>EP143+ES143+EV143</f>
        <v>15541.118993924179</v>
      </c>
      <c r="EZ143" s="114"/>
      <c r="FA143" s="114"/>
      <c r="FB143" s="32">
        <f>FB9</f>
        <v>104553.40915032678</v>
      </c>
      <c r="FC143" s="75"/>
      <c r="FD143" s="75"/>
      <c r="FE143" s="32">
        <f>FE6</f>
        <v>170.48960126114636</v>
      </c>
      <c r="FF143" s="75"/>
      <c r="FG143" s="75"/>
      <c r="FH143" s="32">
        <f>FH9</f>
        <v>16591.055276381911</v>
      </c>
      <c r="FI143" s="75"/>
      <c r="FJ143" s="114"/>
      <c r="FK143" s="32">
        <f>FB143+FE143+FH143</f>
        <v>121314.95402796984</v>
      </c>
      <c r="FL143" s="114"/>
      <c r="FM143" s="114"/>
      <c r="FN143" s="32">
        <f>FN75</f>
        <v>2211.2800000000002</v>
      </c>
      <c r="FO143" s="75"/>
      <c r="FP143" s="75"/>
      <c r="FQ143" s="32">
        <f>FQ75</f>
        <v>38392.731428571424</v>
      </c>
      <c r="FR143" s="75"/>
      <c r="FS143" s="75"/>
      <c r="FT143" s="32">
        <f>0</f>
        <v>0</v>
      </c>
      <c r="FU143" s="114"/>
      <c r="FV143" s="116"/>
      <c r="FW143" s="32">
        <f t="shared" si="23"/>
        <v>40604.011428571423</v>
      </c>
      <c r="FX143" s="116"/>
      <c r="FY143" s="23"/>
      <c r="FZ143" s="32">
        <f>Q143+CH143+CK143+CN143</f>
        <v>35454.181489368661</v>
      </c>
      <c r="GA143" s="32">
        <f>DI143+DU143+EM143+EP143+ES143+EV143+FB143+FE143+FH143+FN143+FQ143+FT143</f>
        <v>278686.15022318414</v>
      </c>
      <c r="GB143" s="32">
        <f>FZ143+GA143</f>
        <v>314140.33171255281</v>
      </c>
      <c r="GC143" s="23"/>
    </row>
    <row r="144" spans="1:185" x14ac:dyDescent="0.3">
      <c r="A144" s="4"/>
      <c r="B144" s="4"/>
      <c r="C144" s="4"/>
      <c r="D144" s="4"/>
      <c r="E144" s="4"/>
      <c r="F144" s="19"/>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3"/>
      <c r="FZ144" s="47"/>
      <c r="GA144" s="47"/>
      <c r="GB144" s="47"/>
      <c r="GC144" s="3"/>
    </row>
    <row r="145" spans="1:185" x14ac:dyDescent="0.3">
      <c r="A145" s="4"/>
      <c r="B145" s="3"/>
      <c r="C145" s="3"/>
      <c r="D145" s="3"/>
      <c r="E145" s="23"/>
      <c r="F145" s="112"/>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112"/>
      <c r="CR145" s="3"/>
      <c r="CS145" s="3"/>
      <c r="CT145" s="3"/>
      <c r="CU145" s="3"/>
      <c r="CV145" s="3"/>
      <c r="CW145" s="3"/>
      <c r="CX145" s="3"/>
      <c r="CY145" s="3"/>
      <c r="CZ145" s="3"/>
      <c r="DA145" s="3"/>
      <c r="DB145" s="3"/>
      <c r="DC145" s="3"/>
      <c r="DD145" s="3"/>
      <c r="DE145" s="3"/>
      <c r="DF145" s="3"/>
      <c r="DG145" s="3"/>
      <c r="DH145" s="3"/>
      <c r="DI145" s="112"/>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112"/>
      <c r="FB145" s="3"/>
      <c r="FC145" s="3"/>
      <c r="FD145" s="3"/>
      <c r="FE145" s="3"/>
      <c r="FF145" s="3"/>
      <c r="FG145" s="3"/>
      <c r="FH145" s="3"/>
      <c r="FI145" s="3"/>
      <c r="FJ145" s="3"/>
      <c r="FK145" s="3"/>
      <c r="FL145" s="3"/>
      <c r="FM145" s="112"/>
      <c r="FN145" s="3"/>
      <c r="FO145" s="3"/>
      <c r="FP145" s="3"/>
      <c r="FQ145" s="3"/>
      <c r="FR145" s="3"/>
      <c r="FS145" s="3"/>
      <c r="FT145" s="3"/>
      <c r="FU145" s="3"/>
      <c r="FV145" s="3"/>
      <c r="FW145" s="3"/>
      <c r="FX145" s="3"/>
      <c r="FY145" s="3"/>
      <c r="FZ145" s="3"/>
      <c r="GA145" s="16" t="s">
        <v>189</v>
      </c>
      <c r="GB145" s="3"/>
      <c r="GC145" s="3"/>
    </row>
    <row r="146" spans="1:185" x14ac:dyDescent="0.3">
      <c r="A146" s="4"/>
      <c r="B146" s="5" t="s">
        <v>144</v>
      </c>
      <c r="C146" s="5"/>
      <c r="D146" s="4"/>
      <c r="E146" s="27"/>
      <c r="F146" s="19"/>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19"/>
      <c r="CR146" s="4"/>
      <c r="CS146" s="4"/>
      <c r="CT146" s="4"/>
      <c r="CU146" s="4"/>
      <c r="CV146" s="4"/>
      <c r="CW146" s="4"/>
      <c r="CX146" s="4"/>
      <c r="CY146" s="4"/>
      <c r="CZ146" s="4"/>
      <c r="DA146" s="4"/>
      <c r="DB146" s="4"/>
      <c r="DC146" s="4"/>
      <c r="DD146" s="4"/>
      <c r="DE146" s="4"/>
      <c r="DF146" s="4"/>
      <c r="DG146" s="4"/>
      <c r="DH146" s="4"/>
      <c r="DI146" s="19"/>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19"/>
      <c r="FB146" s="4"/>
      <c r="FC146" s="4"/>
      <c r="FD146" s="4"/>
      <c r="FE146" s="4"/>
      <c r="FF146" s="4"/>
      <c r="FG146" s="4"/>
      <c r="FH146" s="4"/>
      <c r="FI146" s="4"/>
      <c r="FJ146" s="4"/>
      <c r="FK146" s="4"/>
      <c r="FL146" s="4"/>
      <c r="FM146" s="19"/>
      <c r="FN146" s="4"/>
      <c r="FO146" s="4"/>
      <c r="FP146" s="4"/>
      <c r="FQ146" s="4"/>
      <c r="FR146" s="4"/>
      <c r="FS146" s="4"/>
      <c r="FT146" s="4"/>
      <c r="FU146" s="4"/>
      <c r="FV146" s="4"/>
      <c r="FW146" s="4"/>
      <c r="FX146" s="4"/>
      <c r="FY146" s="3"/>
      <c r="FZ146" s="47" t="s">
        <v>145</v>
      </c>
      <c r="GA146" s="47" t="s">
        <v>146</v>
      </c>
      <c r="GB146" s="47" t="s">
        <v>147</v>
      </c>
      <c r="GC146" s="3"/>
    </row>
    <row r="147" spans="1:185" s="83" customFormat="1" x14ac:dyDescent="0.3">
      <c r="A147" s="4"/>
      <c r="B147" s="40"/>
      <c r="C147" s="95"/>
      <c r="D147" s="39" t="s">
        <v>129</v>
      </c>
      <c r="E147" s="40">
        <v>4</v>
      </c>
      <c r="F147" s="40"/>
      <c r="G147" s="40"/>
      <c r="H147" s="40"/>
      <c r="I147" s="40"/>
      <c r="J147" s="40"/>
      <c r="K147" s="40"/>
      <c r="L147" s="40"/>
      <c r="M147" s="40"/>
      <c r="N147" s="40"/>
      <c r="O147" s="40"/>
      <c r="P147" s="40"/>
      <c r="Q147" s="24">
        <f>IF(Q39-R39&lt;0,0,Q39-R39)</f>
        <v>1198.580803106885</v>
      </c>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24">
        <f>IF(CH39-CI39&lt;0,0,CH39-CI39)</f>
        <v>1857.7364644353688</v>
      </c>
      <c r="CI147" s="40"/>
      <c r="CJ147" s="40"/>
      <c r="CK147" s="24">
        <f>IF(CK39-CL39&lt;0,0,CK39-CL39)</f>
        <v>48.807746296415289</v>
      </c>
      <c r="CL147" s="40"/>
      <c r="CM147" s="40"/>
      <c r="CN147" s="24">
        <f>CN48</f>
        <v>25.722311495673676</v>
      </c>
      <c r="CO147" s="40"/>
      <c r="CP147" s="113"/>
      <c r="CQ147" s="24">
        <f>CK147+CN147</f>
        <v>74.530057792088968</v>
      </c>
      <c r="CR147" s="113"/>
      <c r="CS147" s="114"/>
      <c r="CT147" s="40"/>
      <c r="CU147" s="40"/>
      <c r="CV147" s="40"/>
      <c r="CW147" s="40"/>
      <c r="CX147" s="40"/>
      <c r="CY147" s="40"/>
      <c r="CZ147" s="40"/>
      <c r="DA147" s="40"/>
      <c r="DB147" s="40"/>
      <c r="DC147" s="40"/>
      <c r="DD147" s="40"/>
      <c r="DE147" s="40"/>
      <c r="DF147" s="40"/>
      <c r="DG147" s="40"/>
      <c r="DH147" s="40"/>
      <c r="DI147" s="24">
        <f>(DI42+DI60)/2</f>
        <v>21389.766066514021</v>
      </c>
      <c r="DJ147" s="40"/>
      <c r="DK147" s="40"/>
      <c r="DL147" s="40"/>
      <c r="DM147" s="40"/>
      <c r="DN147" s="40"/>
      <c r="DO147" s="40"/>
      <c r="DP147" s="40"/>
      <c r="DQ147" s="40"/>
      <c r="DR147" s="40"/>
      <c r="DS147" s="40"/>
      <c r="DT147" s="40"/>
      <c r="DU147" s="24">
        <f>0</f>
        <v>0</v>
      </c>
      <c r="DV147" s="40"/>
      <c r="DW147" s="40"/>
      <c r="DX147" s="40"/>
      <c r="DY147" s="40"/>
      <c r="DZ147" s="40"/>
      <c r="EA147" s="40"/>
      <c r="EB147" s="40"/>
      <c r="EC147" s="40"/>
      <c r="ED147" s="40"/>
      <c r="EE147" s="40"/>
      <c r="EF147" s="40"/>
      <c r="EG147" s="40"/>
      <c r="EH147" s="40"/>
      <c r="EI147" s="40"/>
      <c r="EJ147" s="40"/>
      <c r="EK147" s="40"/>
      <c r="EL147" s="40"/>
      <c r="EM147" s="24">
        <f>IF(EM39-EN39&lt;0,0,EM39-EN39)</f>
        <v>9528.0729964278562</v>
      </c>
      <c r="EN147" s="40"/>
      <c r="EO147" s="40"/>
      <c r="EP147" s="24">
        <f>EP7</f>
        <v>5632.7480916030527</v>
      </c>
      <c r="EQ147" s="40"/>
      <c r="ER147" s="40"/>
      <c r="ES147" s="24">
        <f>ES6</f>
        <v>6215.0468314424197</v>
      </c>
      <c r="ET147" s="40"/>
      <c r="EU147" s="40"/>
      <c r="EV147" s="24">
        <v>0</v>
      </c>
      <c r="EW147" s="40"/>
      <c r="EX147" s="113"/>
      <c r="EY147" s="24">
        <f>EP147+ES147+EV147</f>
        <v>11847.794923045472</v>
      </c>
      <c r="EZ147" s="113"/>
      <c r="FA147" s="114"/>
      <c r="FB147" s="24">
        <f>(FB7+FB47)/2</f>
        <v>45183.760214130089</v>
      </c>
      <c r="FC147" s="40"/>
      <c r="FD147" s="40"/>
      <c r="FE147" s="24">
        <f>IF(FE39-FF39&lt;0,0,FE39-FF39)</f>
        <v>643.14240065867295</v>
      </c>
      <c r="FF147" s="40"/>
      <c r="FG147" s="40"/>
      <c r="FH147" s="24">
        <f>FH7</f>
        <v>14199.535175879397</v>
      </c>
      <c r="FI147" s="40"/>
      <c r="FJ147" s="113"/>
      <c r="FK147" s="24">
        <f>FB147+FE147+FH147</f>
        <v>60026.437790668162</v>
      </c>
      <c r="FL147" s="113"/>
      <c r="FM147" s="114"/>
      <c r="FN147" s="24">
        <f>FN75</f>
        <v>2211.2800000000002</v>
      </c>
      <c r="FO147" s="40"/>
      <c r="FP147" s="40"/>
      <c r="FQ147" s="24">
        <f>0</f>
        <v>0</v>
      </c>
      <c r="FR147" s="40"/>
      <c r="FS147" s="40"/>
      <c r="FT147" s="24">
        <f>0</f>
        <v>0</v>
      </c>
      <c r="FU147" s="40"/>
      <c r="FV147" s="115"/>
      <c r="FW147" s="32">
        <f t="shared" si="23"/>
        <v>2211.2800000000002</v>
      </c>
      <c r="FX147" s="115"/>
      <c r="FY147" s="23"/>
      <c r="FZ147" s="24">
        <f>Q147+CH147+CK147+CN147</f>
        <v>3130.8473253343427</v>
      </c>
      <c r="GA147" s="24">
        <f>DI147+DU147+EM147+EP147+ES147+EV147+FB147+FE147+FH147+FN157+FQ147+FT147</f>
        <v>105121.05522153048</v>
      </c>
      <c r="GB147" s="24">
        <f>FZ147+GA147</f>
        <v>108251.90254686482</v>
      </c>
      <c r="GC147" s="23"/>
    </row>
    <row r="148" spans="1:185" s="83" customFormat="1" x14ac:dyDescent="0.3">
      <c r="A148" s="4"/>
      <c r="B148" s="40"/>
      <c r="C148" s="95"/>
      <c r="D148" s="39" t="s">
        <v>130</v>
      </c>
      <c r="E148" s="40">
        <v>4</v>
      </c>
      <c r="F148" s="40"/>
      <c r="G148" s="40"/>
      <c r="H148" s="40"/>
      <c r="I148" s="40"/>
      <c r="J148" s="40"/>
      <c r="K148" s="40"/>
      <c r="L148" s="40"/>
      <c r="M148" s="40"/>
      <c r="N148" s="40"/>
      <c r="O148" s="40"/>
      <c r="P148" s="40"/>
      <c r="Q148" s="24">
        <f>IF(Q39-R39&lt;0,0,Q39-R39)</f>
        <v>1198.580803106885</v>
      </c>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24">
        <f>IF(CH39-CI39&lt;0,0,CH39-CI39)</f>
        <v>1857.7364644353688</v>
      </c>
      <c r="CI148" s="40"/>
      <c r="CJ148" s="40"/>
      <c r="CK148" s="24">
        <f>IF(CK39-CL39&lt;0,0,CK39-CL39)</f>
        <v>48.807746296415289</v>
      </c>
      <c r="CL148" s="40"/>
      <c r="CM148" s="40"/>
      <c r="CN148" s="24">
        <f>CN48</f>
        <v>25.722311495673676</v>
      </c>
      <c r="CO148" s="40"/>
      <c r="CP148" s="113"/>
      <c r="CQ148" s="24">
        <f>CK148+CN148</f>
        <v>74.530057792088968</v>
      </c>
      <c r="CR148" s="113"/>
      <c r="CS148" s="114"/>
      <c r="CT148" s="40"/>
      <c r="CU148" s="40"/>
      <c r="CV148" s="40"/>
      <c r="CW148" s="40"/>
      <c r="CX148" s="40"/>
      <c r="CY148" s="40"/>
      <c r="CZ148" s="40"/>
      <c r="DA148" s="40"/>
      <c r="DB148" s="40"/>
      <c r="DC148" s="40"/>
      <c r="DD148" s="40"/>
      <c r="DE148" s="40"/>
      <c r="DF148" s="40"/>
      <c r="DG148" s="40"/>
      <c r="DH148" s="40"/>
      <c r="DI148" s="24">
        <f>(DI42+DI60)/2</f>
        <v>21389.766066514021</v>
      </c>
      <c r="DJ148" s="40"/>
      <c r="DK148" s="40"/>
      <c r="DL148" s="40"/>
      <c r="DM148" s="40"/>
      <c r="DN148" s="40"/>
      <c r="DO148" s="40"/>
      <c r="DP148" s="40"/>
      <c r="DQ148" s="40"/>
      <c r="DR148" s="40"/>
      <c r="DS148" s="40"/>
      <c r="DT148" s="40"/>
      <c r="DU148" s="24">
        <f>0</f>
        <v>0</v>
      </c>
      <c r="DV148" s="40"/>
      <c r="DW148" s="40"/>
      <c r="DX148" s="40"/>
      <c r="DY148" s="40"/>
      <c r="DZ148" s="40"/>
      <c r="EA148" s="40"/>
      <c r="EB148" s="40"/>
      <c r="EC148" s="40"/>
      <c r="ED148" s="40"/>
      <c r="EE148" s="40"/>
      <c r="EF148" s="40"/>
      <c r="EG148" s="40"/>
      <c r="EH148" s="40"/>
      <c r="EI148" s="40"/>
      <c r="EJ148" s="40"/>
      <c r="EK148" s="40"/>
      <c r="EL148" s="40"/>
      <c r="EM148" s="24">
        <f>IF(EM39-EN39&lt;0,0,EM39-EN39)</f>
        <v>9528.0729964278562</v>
      </c>
      <c r="EN148" s="40"/>
      <c r="EO148" s="40"/>
      <c r="EP148" s="24">
        <f>EP8</f>
        <v>4445.5215686274505</v>
      </c>
      <c r="EQ148" s="40"/>
      <c r="ER148" s="40"/>
      <c r="ES148" s="24">
        <f>ES6</f>
        <v>6215.0468314424197</v>
      </c>
      <c r="ET148" s="40"/>
      <c r="EU148" s="40"/>
      <c r="EV148" s="24">
        <v>0</v>
      </c>
      <c r="EW148" s="40"/>
      <c r="EX148" s="113"/>
      <c r="EY148" s="24">
        <f>EP148+ES148+EV148</f>
        <v>10660.568400069871</v>
      </c>
      <c r="EZ148" s="113"/>
      <c r="FA148" s="114"/>
      <c r="FB148" s="24">
        <f>(FB8+FB47)/2</f>
        <v>51128.051935262985</v>
      </c>
      <c r="FC148" s="40"/>
      <c r="FD148" s="40"/>
      <c r="FE148" s="24">
        <f>IF(FE39-FF39&lt;0,0,FE39-FF39)</f>
        <v>643.14240065867295</v>
      </c>
      <c r="FF148" s="40"/>
      <c r="FG148" s="40"/>
      <c r="FH148" s="24">
        <f>FH8</f>
        <v>23145.11306532663</v>
      </c>
      <c r="FI148" s="40"/>
      <c r="FJ148" s="113"/>
      <c r="FK148" s="24">
        <f>FB148+FE148+FH148</f>
        <v>74916.307401248283</v>
      </c>
      <c r="FL148" s="113"/>
      <c r="FM148" s="114"/>
      <c r="FN148" s="24">
        <f>FN75</f>
        <v>2211.2800000000002</v>
      </c>
      <c r="FO148" s="40"/>
      <c r="FP148" s="40"/>
      <c r="FQ148" s="24">
        <f>0</f>
        <v>0</v>
      </c>
      <c r="FR148" s="40"/>
      <c r="FS148" s="40"/>
      <c r="FT148" s="24">
        <f>0</f>
        <v>0</v>
      </c>
      <c r="FU148" s="40"/>
      <c r="FV148" s="115"/>
      <c r="FW148" s="32">
        <f t="shared" si="23"/>
        <v>2211.2800000000002</v>
      </c>
      <c r="FX148" s="115"/>
      <c r="FY148" s="23"/>
      <c r="FZ148" s="24">
        <f>Q148+CH148+CK148+CN148</f>
        <v>3130.8473253343427</v>
      </c>
      <c r="GA148" s="24">
        <f>DI148+DU148+EM148+EP148+ES148+EV148+FB148+FE148+FH148+FN158+FQ148+FT148</f>
        <v>118823.69830913501</v>
      </c>
      <c r="GB148" s="24">
        <f>FZ148+GA148</f>
        <v>121954.54563446935</v>
      </c>
      <c r="GC148" s="23"/>
    </row>
    <row r="149" spans="1:185" s="83" customFormat="1" x14ac:dyDescent="0.3">
      <c r="A149" s="4"/>
      <c r="B149" s="40"/>
      <c r="C149" s="95"/>
      <c r="D149" s="39" t="s">
        <v>149</v>
      </c>
      <c r="E149" s="40">
        <v>4</v>
      </c>
      <c r="F149" s="40"/>
      <c r="G149" s="40"/>
      <c r="H149" s="40"/>
      <c r="I149" s="40"/>
      <c r="J149" s="40"/>
      <c r="K149" s="40"/>
      <c r="L149" s="40"/>
      <c r="M149" s="40"/>
      <c r="N149" s="40"/>
      <c r="O149" s="40"/>
      <c r="P149" s="40"/>
      <c r="Q149" s="24">
        <f>IF(Q39-R39&lt;0,0,Q39-R39)</f>
        <v>1198.580803106885</v>
      </c>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24">
        <f>IF(CH39-CI39&lt;0,0,CH39-CI39)</f>
        <v>1857.7364644353688</v>
      </c>
      <c r="CI149" s="40"/>
      <c r="CJ149" s="40"/>
      <c r="CK149" s="24">
        <f>IF(CK39-CL39&lt;0,0,CK39-CL39)</f>
        <v>48.807746296415289</v>
      </c>
      <c r="CL149" s="40"/>
      <c r="CM149" s="40"/>
      <c r="CN149" s="24">
        <f>CN55</f>
        <v>93.444404145077726</v>
      </c>
      <c r="CO149" s="40"/>
      <c r="CP149" s="113"/>
      <c r="CQ149" s="24">
        <f>CK149+CN149</f>
        <v>142.25215044149303</v>
      </c>
      <c r="CR149" s="113"/>
      <c r="CS149" s="114"/>
      <c r="CT149" s="40"/>
      <c r="CU149" s="40"/>
      <c r="CV149" s="40"/>
      <c r="CW149" s="40"/>
      <c r="CX149" s="40"/>
      <c r="CY149" s="40"/>
      <c r="CZ149" s="40"/>
      <c r="DA149" s="40"/>
      <c r="DB149" s="40"/>
      <c r="DC149" s="40"/>
      <c r="DD149" s="40"/>
      <c r="DE149" s="40"/>
      <c r="DF149" s="40"/>
      <c r="DG149" s="40"/>
      <c r="DH149" s="40"/>
      <c r="DI149" s="24">
        <f>DI57</f>
        <v>55739.525676741148</v>
      </c>
      <c r="DJ149" s="40"/>
      <c r="DK149" s="40"/>
      <c r="DL149" s="40"/>
      <c r="DM149" s="40"/>
      <c r="DN149" s="40"/>
      <c r="DO149" s="40"/>
      <c r="DP149" s="40"/>
      <c r="DQ149" s="40"/>
      <c r="DR149" s="40"/>
      <c r="DS149" s="40"/>
      <c r="DT149" s="40"/>
      <c r="DU149" s="24">
        <f>0</f>
        <v>0</v>
      </c>
      <c r="DV149" s="40"/>
      <c r="DW149" s="40"/>
      <c r="DX149" s="40"/>
      <c r="DY149" s="40"/>
      <c r="DZ149" s="40"/>
      <c r="EA149" s="40"/>
      <c r="EB149" s="40"/>
      <c r="EC149" s="40"/>
      <c r="ED149" s="40"/>
      <c r="EE149" s="40"/>
      <c r="EF149" s="40"/>
      <c r="EG149" s="40"/>
      <c r="EH149" s="40"/>
      <c r="EI149" s="40"/>
      <c r="EJ149" s="40"/>
      <c r="EK149" s="40"/>
      <c r="EL149" s="40"/>
      <c r="EM149" s="24">
        <f>IF(EM39-EN39&lt;0,0,EM39-EN39)</f>
        <v>9528.0729964278562</v>
      </c>
      <c r="EN149" s="40"/>
      <c r="EO149" s="40"/>
      <c r="EP149" s="24">
        <f>EP9</f>
        <v>6670.2740740740728</v>
      </c>
      <c r="EQ149" s="40"/>
      <c r="ER149" s="40"/>
      <c r="ES149" s="24">
        <f>ES6</f>
        <v>6215.0468314424197</v>
      </c>
      <c r="ET149" s="40"/>
      <c r="EU149" s="40"/>
      <c r="EV149" s="24">
        <v>0</v>
      </c>
      <c r="EW149" s="40"/>
      <c r="EX149" s="113"/>
      <c r="EY149" s="24">
        <f>EP149+ES149+EV149</f>
        <v>12885.320905516492</v>
      </c>
      <c r="EZ149" s="113"/>
      <c r="FA149" s="114"/>
      <c r="FB149" s="24">
        <f>(FB9+FB47)/2</f>
        <v>65775.169146591972</v>
      </c>
      <c r="FC149" s="40"/>
      <c r="FD149" s="40"/>
      <c r="FE149" s="24">
        <f>IF(FE39-FF39&lt;0,0,FE39-FF39)</f>
        <v>643.14240065867295</v>
      </c>
      <c r="FF149" s="40"/>
      <c r="FG149" s="40"/>
      <c r="FH149" s="24">
        <f>FH9</f>
        <v>16591.055276381911</v>
      </c>
      <c r="FI149" s="40"/>
      <c r="FJ149" s="113"/>
      <c r="FK149" s="24">
        <f>FB149+FE149+FH149</f>
        <v>83009.366823632561</v>
      </c>
      <c r="FL149" s="113"/>
      <c r="FM149" s="114"/>
      <c r="FN149" s="24">
        <f>FN75</f>
        <v>2211.2800000000002</v>
      </c>
      <c r="FO149" s="40"/>
      <c r="FP149" s="40"/>
      <c r="FQ149" s="24">
        <f>0</f>
        <v>0</v>
      </c>
      <c r="FR149" s="40"/>
      <c r="FS149" s="40"/>
      <c r="FT149" s="24">
        <f>0</f>
        <v>0</v>
      </c>
      <c r="FU149" s="40"/>
      <c r="FV149" s="115"/>
      <c r="FW149" s="32">
        <f t="shared" si="23"/>
        <v>2211.2800000000002</v>
      </c>
      <c r="FX149" s="115"/>
      <c r="FY149" s="23"/>
      <c r="FZ149" s="24">
        <f>Q149+CH149+CK149+CN149</f>
        <v>3198.5694179837469</v>
      </c>
      <c r="GA149" s="24">
        <f>DI149+DU149+EM149+EP149+ES149+EV149+FB149+FE149+FH149+FN159+FQ149+FT149</f>
        <v>163491.26984719298</v>
      </c>
      <c r="GB149" s="24">
        <f>FZ149+GA149</f>
        <v>166689.83926517674</v>
      </c>
      <c r="GC149" s="23"/>
    </row>
    <row r="150" spans="1:185" s="83" customFormat="1" x14ac:dyDescent="0.3">
      <c r="A150" s="4"/>
      <c r="B150" s="23"/>
      <c r="C150" s="23"/>
      <c r="D150" s="23"/>
      <c r="E150" s="23"/>
      <c r="F150" s="31"/>
      <c r="G150" s="23"/>
      <c r="H150" s="23"/>
      <c r="I150" s="23"/>
      <c r="J150" s="23"/>
      <c r="K150" s="23"/>
      <c r="L150" s="23"/>
      <c r="M150" s="23"/>
      <c r="N150" s="23"/>
      <c r="O150" s="23"/>
      <c r="P150" s="23"/>
      <c r="Q150" s="31"/>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31"/>
      <c r="CI150" s="23"/>
      <c r="CJ150" s="23"/>
      <c r="CK150" s="31"/>
      <c r="CL150" s="23"/>
      <c r="CM150" s="23"/>
      <c r="CN150" s="31"/>
      <c r="CO150" s="31"/>
      <c r="CP150" s="31"/>
      <c r="CQ150" s="23"/>
      <c r="CR150" s="31"/>
      <c r="CS150" s="23"/>
      <c r="CT150" s="23"/>
      <c r="CU150" s="23"/>
      <c r="CV150" s="23"/>
      <c r="CW150" s="23"/>
      <c r="CX150" s="23"/>
      <c r="CY150" s="23"/>
      <c r="CZ150" s="23"/>
      <c r="DA150" s="23"/>
      <c r="DB150" s="23"/>
      <c r="DC150" s="23"/>
      <c r="DD150" s="23"/>
      <c r="DE150" s="23"/>
      <c r="DF150" s="23"/>
      <c r="DG150" s="23"/>
      <c r="DH150" s="23"/>
      <c r="DI150" s="31"/>
      <c r="DJ150" s="23"/>
      <c r="DK150" s="23"/>
      <c r="DL150" s="23"/>
      <c r="DM150" s="23"/>
      <c r="DN150" s="23"/>
      <c r="DO150" s="23"/>
      <c r="DP150" s="23"/>
      <c r="DQ150" s="23"/>
      <c r="DR150" s="23"/>
      <c r="DS150" s="23"/>
      <c r="DT150" s="23"/>
      <c r="DU150" s="31"/>
      <c r="DV150" s="23"/>
      <c r="DW150" s="23"/>
      <c r="DX150" s="23"/>
      <c r="DY150" s="23"/>
      <c r="DZ150" s="23"/>
      <c r="EA150" s="23"/>
      <c r="EB150" s="23"/>
      <c r="EC150" s="23"/>
      <c r="ED150" s="23"/>
      <c r="EE150" s="23"/>
      <c r="EF150" s="23"/>
      <c r="EG150" s="23"/>
      <c r="EH150" s="23"/>
      <c r="EI150" s="23"/>
      <c r="EJ150" s="23"/>
      <c r="EK150" s="23"/>
      <c r="EL150" s="23"/>
      <c r="EM150" s="31"/>
      <c r="EN150" s="23"/>
      <c r="EO150" s="23"/>
      <c r="EP150" s="31"/>
      <c r="EQ150" s="23"/>
      <c r="ER150" s="23"/>
      <c r="ES150" s="31"/>
      <c r="ET150" s="23"/>
      <c r="EU150" s="23"/>
      <c r="EV150" s="31"/>
      <c r="EW150" s="23"/>
      <c r="EX150" s="23"/>
      <c r="EY150" s="23"/>
      <c r="EZ150" s="23"/>
      <c r="FA150" s="23"/>
      <c r="FB150" s="31"/>
      <c r="FC150" s="23"/>
      <c r="FD150" s="23"/>
      <c r="FE150" s="31"/>
      <c r="FF150" s="23"/>
      <c r="FG150" s="23"/>
      <c r="FH150" s="31"/>
      <c r="FI150" s="31"/>
      <c r="FJ150" s="31"/>
      <c r="FK150" s="31"/>
      <c r="FL150" s="31"/>
      <c r="FM150" s="23"/>
      <c r="FN150" s="31"/>
      <c r="FO150" s="23"/>
      <c r="FP150" s="23"/>
      <c r="FQ150" s="31"/>
      <c r="FR150" s="23"/>
      <c r="FS150" s="23"/>
      <c r="FT150" s="31"/>
      <c r="FU150" s="23"/>
      <c r="FV150" s="23"/>
      <c r="FW150" s="31"/>
      <c r="FX150" s="23"/>
      <c r="FY150" s="23"/>
      <c r="FZ150" s="31"/>
      <c r="GA150" s="16" t="s">
        <v>190</v>
      </c>
      <c r="GB150" s="31"/>
      <c r="GC150" s="23"/>
    </row>
    <row r="151" spans="1:185" s="83" customFormat="1" x14ac:dyDescent="0.3">
      <c r="A151" s="4"/>
      <c r="B151" s="27"/>
      <c r="C151" s="27"/>
      <c r="D151" s="27"/>
      <c r="E151" s="27"/>
      <c r="F151" s="25"/>
      <c r="G151" s="27"/>
      <c r="H151" s="27"/>
      <c r="I151" s="27"/>
      <c r="J151" s="27"/>
      <c r="K151" s="27"/>
      <c r="L151" s="27"/>
      <c r="M151" s="27"/>
      <c r="N151" s="27"/>
      <c r="O151" s="27"/>
      <c r="P151" s="27"/>
      <c r="Q151" s="25"/>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5"/>
      <c r="CI151" s="27"/>
      <c r="CJ151" s="27"/>
      <c r="CK151" s="25"/>
      <c r="CL151" s="27"/>
      <c r="CM151" s="27"/>
      <c r="CN151" s="25"/>
      <c r="CO151" s="25"/>
      <c r="CP151" s="25"/>
      <c r="CQ151" s="27"/>
      <c r="CR151" s="25"/>
      <c r="CS151" s="27"/>
      <c r="CT151" s="27"/>
      <c r="CU151" s="27"/>
      <c r="CV151" s="27"/>
      <c r="CW151" s="27"/>
      <c r="CX151" s="27"/>
      <c r="CY151" s="27"/>
      <c r="CZ151" s="27"/>
      <c r="DA151" s="27"/>
      <c r="DB151" s="27"/>
      <c r="DC151" s="27"/>
      <c r="DD151" s="27"/>
      <c r="DE151" s="27"/>
      <c r="DF151" s="27"/>
      <c r="DG151" s="27"/>
      <c r="DH151" s="27"/>
      <c r="DI151" s="25"/>
      <c r="DJ151" s="27"/>
      <c r="DK151" s="27"/>
      <c r="DL151" s="27"/>
      <c r="DM151" s="27"/>
      <c r="DN151" s="27"/>
      <c r="DO151" s="27"/>
      <c r="DP151" s="27"/>
      <c r="DQ151" s="27"/>
      <c r="DR151" s="27"/>
      <c r="DS151" s="27"/>
      <c r="DT151" s="27"/>
      <c r="DU151" s="25"/>
      <c r="DV151" s="27"/>
      <c r="DW151" s="27"/>
      <c r="DX151" s="27"/>
      <c r="DY151" s="27"/>
      <c r="DZ151" s="27"/>
      <c r="EA151" s="27"/>
      <c r="EB151" s="27"/>
      <c r="EC151" s="27"/>
      <c r="ED151" s="27"/>
      <c r="EE151" s="27"/>
      <c r="EF151" s="27"/>
      <c r="EG151" s="27"/>
      <c r="EH151" s="27"/>
      <c r="EI151" s="27"/>
      <c r="EJ151" s="27"/>
      <c r="EK151" s="27"/>
      <c r="EL151" s="27"/>
      <c r="EM151" s="25"/>
      <c r="EN151" s="27"/>
      <c r="EO151" s="27"/>
      <c r="EP151" s="25"/>
      <c r="EQ151" s="27"/>
      <c r="ER151" s="27"/>
      <c r="ES151" s="25"/>
      <c r="ET151" s="27"/>
      <c r="EU151" s="27"/>
      <c r="EV151" s="25"/>
      <c r="EW151" s="27"/>
      <c r="EX151" s="27"/>
      <c r="EY151" s="27"/>
      <c r="EZ151" s="27"/>
      <c r="FA151" s="27"/>
      <c r="FB151" s="25"/>
      <c r="FC151" s="27"/>
      <c r="FD151" s="27"/>
      <c r="FE151" s="25"/>
      <c r="FF151" s="27"/>
      <c r="FG151" s="27"/>
      <c r="FH151" s="25"/>
      <c r="FI151" s="27"/>
      <c r="FJ151" s="27"/>
      <c r="FK151" s="27"/>
      <c r="FL151" s="27"/>
      <c r="FM151" s="27"/>
      <c r="FN151" s="25"/>
      <c r="FO151" s="27"/>
      <c r="FP151" s="27"/>
      <c r="FQ151" s="25"/>
      <c r="FR151" s="27"/>
      <c r="FS151" s="27"/>
      <c r="FT151" s="25"/>
      <c r="FU151" s="27"/>
      <c r="FV151" s="27"/>
      <c r="FW151" s="25"/>
      <c r="FX151" s="27"/>
      <c r="FY151" s="27"/>
      <c r="FZ151" s="47" t="s">
        <v>145</v>
      </c>
      <c r="GA151" s="47" t="s">
        <v>146</v>
      </c>
      <c r="GB151" s="47" t="s">
        <v>147</v>
      </c>
      <c r="GC151" s="23"/>
    </row>
    <row r="152" spans="1:185" s="83" customFormat="1" x14ac:dyDescent="0.3">
      <c r="A152" s="4"/>
      <c r="B152" s="76"/>
      <c r="C152" s="95"/>
      <c r="D152" s="75" t="s">
        <v>129</v>
      </c>
      <c r="E152" s="76">
        <v>4</v>
      </c>
      <c r="F152" s="76"/>
      <c r="G152" s="76"/>
      <c r="H152" s="76"/>
      <c r="I152" s="76"/>
      <c r="J152" s="76"/>
      <c r="K152" s="76"/>
      <c r="L152" s="76"/>
      <c r="M152" s="76"/>
      <c r="N152" s="76"/>
      <c r="O152" s="76"/>
      <c r="P152" s="76"/>
      <c r="Q152" s="24">
        <f>Q39</f>
        <v>2316.3140616113747</v>
      </c>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24">
        <f>CH39</f>
        <v>2401.7869052132701</v>
      </c>
      <c r="CI152" s="76"/>
      <c r="CJ152" s="76"/>
      <c r="CK152" s="24">
        <f>CK39</f>
        <v>59.83099052132701</v>
      </c>
      <c r="CL152" s="76"/>
      <c r="CM152" s="76"/>
      <c r="CN152" s="24">
        <f>(CN47+CN48)/2</f>
        <v>40.298288009888758</v>
      </c>
      <c r="CO152" s="76"/>
      <c r="CP152" s="113"/>
      <c r="CQ152" s="24">
        <f>CK152+CN152</f>
        <v>100.12927853121576</v>
      </c>
      <c r="CR152" s="113"/>
      <c r="CS152" s="114"/>
      <c r="CT152" s="76"/>
      <c r="CU152" s="76"/>
      <c r="CV152" s="76"/>
      <c r="CW152" s="76"/>
      <c r="CX152" s="76"/>
      <c r="CY152" s="76"/>
      <c r="CZ152" s="76"/>
      <c r="DA152" s="76"/>
      <c r="DB152" s="76"/>
      <c r="DC152" s="76"/>
      <c r="DD152" s="76"/>
      <c r="DE152" s="76"/>
      <c r="DF152" s="76"/>
      <c r="DG152" s="76"/>
      <c r="DH152" s="76"/>
      <c r="DI152" s="24">
        <f>(DI41+DI50+DI59)/3</f>
        <v>73268.689935226794</v>
      </c>
      <c r="DJ152" s="76"/>
      <c r="DK152" s="76"/>
      <c r="DL152" s="76"/>
      <c r="DM152" s="76"/>
      <c r="DN152" s="76"/>
      <c r="DO152" s="76"/>
      <c r="DP152" s="76"/>
      <c r="DQ152" s="76"/>
      <c r="DR152" s="76"/>
      <c r="DS152" s="76"/>
      <c r="DT152" s="76"/>
      <c r="DU152" s="24">
        <f>0</f>
        <v>0</v>
      </c>
      <c r="DV152" s="76"/>
      <c r="DW152" s="76"/>
      <c r="DX152" s="76"/>
      <c r="DY152" s="76"/>
      <c r="DZ152" s="76"/>
      <c r="EA152" s="76"/>
      <c r="EB152" s="76"/>
      <c r="EC152" s="76"/>
      <c r="ED152" s="76"/>
      <c r="EE152" s="76"/>
      <c r="EF152" s="76"/>
      <c r="EG152" s="76"/>
      <c r="EH152" s="76"/>
      <c r="EI152" s="76"/>
      <c r="EJ152" s="76"/>
      <c r="EK152" s="76"/>
      <c r="EL152" s="76"/>
      <c r="EM152" s="24">
        <f>EM39</f>
        <v>11521.739317535546</v>
      </c>
      <c r="EN152" s="76"/>
      <c r="EO152" s="76"/>
      <c r="EP152" s="24">
        <f>(EP7+EP33+EP75)/3</f>
        <v>7517.6317448200643</v>
      </c>
      <c r="EQ152" s="76"/>
      <c r="ER152" s="76"/>
      <c r="ES152" s="24">
        <f>ES6</f>
        <v>6215.0468314424197</v>
      </c>
      <c r="ET152" s="76"/>
      <c r="EU152" s="76"/>
      <c r="EV152" s="24">
        <f>0</f>
        <v>0</v>
      </c>
      <c r="EW152" s="76"/>
      <c r="EX152" s="113"/>
      <c r="EY152" s="24">
        <f>EP152+ES152+EV152</f>
        <v>13732.678576262484</v>
      </c>
      <c r="EZ152" s="113"/>
      <c r="FA152" s="114"/>
      <c r="FB152" s="24">
        <f>FB7</f>
        <v>63370.591285403039</v>
      </c>
      <c r="FC152" s="76"/>
      <c r="FD152" s="76"/>
      <c r="FE152" s="24">
        <f>FE39</f>
        <v>1204.3616</v>
      </c>
      <c r="FF152" s="76"/>
      <c r="FG152" s="76"/>
      <c r="FH152" s="24">
        <f>FH7</f>
        <v>14199.535175879397</v>
      </c>
      <c r="FI152" s="114"/>
      <c r="FJ152" s="114"/>
      <c r="FK152" s="32">
        <f>FB152+FE152+FH152</f>
        <v>78774.488061282435</v>
      </c>
      <c r="FL152" s="114"/>
      <c r="FM152" s="114"/>
      <c r="FN152" s="32">
        <f>(FN33+FN75+FN76)/3</f>
        <v>2245.1434816249853</v>
      </c>
      <c r="FO152" s="76"/>
      <c r="FP152" s="76"/>
      <c r="FQ152" s="24">
        <f>0</f>
        <v>0</v>
      </c>
      <c r="FR152" s="76"/>
      <c r="FS152" s="76"/>
      <c r="FT152" s="24">
        <f>0</f>
        <v>0</v>
      </c>
      <c r="FU152" s="76"/>
      <c r="FV152" s="115"/>
      <c r="FW152" s="32">
        <f t="shared" si="23"/>
        <v>2245.1434816249853</v>
      </c>
      <c r="FX152" s="115"/>
      <c r="FY152" s="23"/>
      <c r="FZ152" s="24">
        <f>Q152+CH152+CK152+CN152</f>
        <v>4818.2302453558605</v>
      </c>
      <c r="GA152" s="24">
        <f>DI152+DU152+EM152+EP152+ES152+EV152+FB152+FH152+FN152+FQ152+FT152</f>
        <v>178338.37777193225</v>
      </c>
      <c r="GB152" s="24">
        <f>FZ152+GA152</f>
        <v>183156.60801728812</v>
      </c>
      <c r="GC152" s="23"/>
    </row>
    <row r="153" spans="1:185" s="83" customFormat="1" x14ac:dyDescent="0.3">
      <c r="A153" s="4"/>
      <c r="B153" s="76"/>
      <c r="C153" s="95"/>
      <c r="D153" s="75" t="s">
        <v>130</v>
      </c>
      <c r="E153" s="76">
        <v>4</v>
      </c>
      <c r="F153" s="76"/>
      <c r="G153" s="76"/>
      <c r="H153" s="76"/>
      <c r="I153" s="76"/>
      <c r="J153" s="76"/>
      <c r="K153" s="76"/>
      <c r="L153" s="76"/>
      <c r="M153" s="76"/>
      <c r="N153" s="76"/>
      <c r="O153" s="76"/>
      <c r="P153" s="76"/>
      <c r="Q153" s="24">
        <f>Q39</f>
        <v>2316.3140616113747</v>
      </c>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24">
        <f>CH39</f>
        <v>2401.7869052132701</v>
      </c>
      <c r="CI153" s="76"/>
      <c r="CJ153" s="76"/>
      <c r="CK153" s="24">
        <f>CK39</f>
        <v>59.83099052132701</v>
      </c>
      <c r="CL153" s="76"/>
      <c r="CM153" s="76"/>
      <c r="CN153" s="24">
        <f>(CN47+CN48)/2</f>
        <v>40.298288009888758</v>
      </c>
      <c r="CO153" s="76"/>
      <c r="CP153" s="113"/>
      <c r="CQ153" s="24">
        <f>CK153+CN153</f>
        <v>100.12927853121576</v>
      </c>
      <c r="CR153" s="113"/>
      <c r="CS153" s="114"/>
      <c r="CT153" s="76"/>
      <c r="CU153" s="76"/>
      <c r="CV153" s="76"/>
      <c r="CW153" s="76"/>
      <c r="CX153" s="76"/>
      <c r="CY153" s="76"/>
      <c r="CZ153" s="76"/>
      <c r="DA153" s="76"/>
      <c r="DB153" s="76"/>
      <c r="DC153" s="76"/>
      <c r="DD153" s="76"/>
      <c r="DE153" s="76"/>
      <c r="DF153" s="76"/>
      <c r="DG153" s="76"/>
      <c r="DH153" s="76"/>
      <c r="DI153" s="24">
        <f>(DI41+DI51+DI59)/3</f>
        <v>81459.28813574095</v>
      </c>
      <c r="DJ153" s="76"/>
      <c r="DK153" s="76"/>
      <c r="DL153" s="76"/>
      <c r="DM153" s="76"/>
      <c r="DN153" s="76"/>
      <c r="DO153" s="76"/>
      <c r="DP153" s="76"/>
      <c r="DQ153" s="76"/>
      <c r="DR153" s="76"/>
      <c r="DS153" s="76"/>
      <c r="DT153" s="76"/>
      <c r="DU153" s="24">
        <f>0</f>
        <v>0</v>
      </c>
      <c r="DV153" s="76"/>
      <c r="DW153" s="76"/>
      <c r="DX153" s="76"/>
      <c r="DY153" s="76"/>
      <c r="DZ153" s="76"/>
      <c r="EA153" s="76"/>
      <c r="EB153" s="76"/>
      <c r="EC153" s="76"/>
      <c r="ED153" s="76"/>
      <c r="EE153" s="76"/>
      <c r="EF153" s="76"/>
      <c r="EG153" s="76"/>
      <c r="EH153" s="76"/>
      <c r="EI153" s="76"/>
      <c r="EJ153" s="76"/>
      <c r="EK153" s="76"/>
      <c r="EL153" s="76"/>
      <c r="EM153" s="24">
        <f>EM39</f>
        <v>11521.739317535546</v>
      </c>
      <c r="EN153" s="76"/>
      <c r="EO153" s="76"/>
      <c r="EP153" s="24">
        <f>(EP8+EP33+EP75)/3</f>
        <v>7121.8895704948636</v>
      </c>
      <c r="EQ153" s="76"/>
      <c r="ER153" s="76"/>
      <c r="ES153" s="24">
        <f>ES6</f>
        <v>6215.0468314424197</v>
      </c>
      <c r="ET153" s="76"/>
      <c r="EU153" s="76"/>
      <c r="EV153" s="24">
        <f>0</f>
        <v>0</v>
      </c>
      <c r="EW153" s="76"/>
      <c r="EX153" s="113"/>
      <c r="EY153" s="24">
        <f>EP153+ES153+EV153</f>
        <v>13336.936401937284</v>
      </c>
      <c r="EZ153" s="113"/>
      <c r="FA153" s="114"/>
      <c r="FB153" s="24">
        <f>FB8</f>
        <v>75259.174727668826</v>
      </c>
      <c r="FC153" s="76"/>
      <c r="FD153" s="76"/>
      <c r="FE153" s="24">
        <f>FE39</f>
        <v>1204.3616</v>
      </c>
      <c r="FF153" s="76"/>
      <c r="FG153" s="76"/>
      <c r="FH153" s="24">
        <f>FH8</f>
        <v>23145.11306532663</v>
      </c>
      <c r="FI153" s="114"/>
      <c r="FJ153" s="114"/>
      <c r="FK153" s="32">
        <f>FB158+FE158+FH158</f>
        <v>102699.94065707381</v>
      </c>
      <c r="FL153" s="114"/>
      <c r="FM153" s="114"/>
      <c r="FN153" s="32">
        <f>(FN33+FN75+FN76)/3</f>
        <v>2245.1434816249853</v>
      </c>
      <c r="FO153" s="76"/>
      <c r="FP153" s="76"/>
      <c r="FQ153" s="24">
        <f>0</f>
        <v>0</v>
      </c>
      <c r="FR153" s="76"/>
      <c r="FS153" s="76"/>
      <c r="FT153" s="24">
        <f>0</f>
        <v>0</v>
      </c>
      <c r="FU153" s="76"/>
      <c r="FV153" s="115"/>
      <c r="FW153" s="32">
        <f t="shared" si="23"/>
        <v>2245.1434816249853</v>
      </c>
      <c r="FX153" s="115"/>
      <c r="FY153" s="23"/>
      <c r="FZ153" s="24">
        <f>Q153+CH153+CK153+CN153</f>
        <v>4818.2302453558605</v>
      </c>
      <c r="GA153" s="24">
        <f>DI153+DU153+EM153+EP153+ES153+EV153+FB153+FH153+FN153+FQ153+FT153</f>
        <v>206967.39512983421</v>
      </c>
      <c r="GB153" s="24">
        <f>FZ153+GA153</f>
        <v>211785.62537519008</v>
      </c>
      <c r="GC153" s="23"/>
    </row>
    <row r="154" spans="1:185" s="83" customFormat="1" x14ac:dyDescent="0.3">
      <c r="A154" s="4"/>
      <c r="B154" s="76"/>
      <c r="C154" s="95"/>
      <c r="D154" s="75" t="s">
        <v>149</v>
      </c>
      <c r="E154" s="76">
        <v>4</v>
      </c>
      <c r="F154" s="76"/>
      <c r="G154" s="76"/>
      <c r="H154" s="76"/>
      <c r="I154" s="76"/>
      <c r="J154" s="76"/>
      <c r="K154" s="76"/>
      <c r="L154" s="76"/>
      <c r="M154" s="76"/>
      <c r="N154" s="76"/>
      <c r="O154" s="76"/>
      <c r="P154" s="76"/>
      <c r="Q154" s="24">
        <f>Q39</f>
        <v>2316.3140616113747</v>
      </c>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24">
        <f>CH39</f>
        <v>2401.7869052132701</v>
      </c>
      <c r="CI154" s="76"/>
      <c r="CJ154" s="76"/>
      <c r="CK154" s="24">
        <f>CK39</f>
        <v>59.83099052132701</v>
      </c>
      <c r="CL154" s="76"/>
      <c r="CM154" s="76"/>
      <c r="CN154" s="24">
        <f>(CN54+CN55)/2</f>
        <v>186.88880829015545</v>
      </c>
      <c r="CO154" s="76"/>
      <c r="CP154" s="113"/>
      <c r="CQ154" s="24">
        <f>CK154+CN154</f>
        <v>246.71979881148246</v>
      </c>
      <c r="CR154" s="113"/>
      <c r="CS154" s="114"/>
      <c r="CT154" s="76"/>
      <c r="CU154" s="76"/>
      <c r="CV154" s="76"/>
      <c r="CW154" s="76"/>
      <c r="CX154" s="76"/>
      <c r="CY154" s="76"/>
      <c r="CZ154" s="76"/>
      <c r="DA154" s="76"/>
      <c r="DB154" s="76"/>
      <c r="DC154" s="76"/>
      <c r="DD154" s="76"/>
      <c r="DE154" s="76"/>
      <c r="DF154" s="76"/>
      <c r="DG154" s="76"/>
      <c r="DH154" s="76"/>
      <c r="DI154" s="24">
        <f>((DI52+DI55+DI59)/3)</f>
        <v>80047.822238680863</v>
      </c>
      <c r="DJ154" s="76"/>
      <c r="DK154" s="76"/>
      <c r="DL154" s="76"/>
      <c r="DM154" s="76"/>
      <c r="DN154" s="76"/>
      <c r="DO154" s="76"/>
      <c r="DP154" s="76"/>
      <c r="DQ154" s="76"/>
      <c r="DR154" s="76"/>
      <c r="DS154" s="76"/>
      <c r="DT154" s="76"/>
      <c r="DU154" s="24">
        <f>0</f>
        <v>0</v>
      </c>
      <c r="DV154" s="76"/>
      <c r="DW154" s="76"/>
      <c r="DX154" s="76"/>
      <c r="DY154" s="76"/>
      <c r="DZ154" s="76"/>
      <c r="EA154" s="76"/>
      <c r="EB154" s="76"/>
      <c r="EC154" s="76"/>
      <c r="ED154" s="76"/>
      <c r="EE154" s="76"/>
      <c r="EF154" s="76"/>
      <c r="EG154" s="76"/>
      <c r="EH154" s="76"/>
      <c r="EI154" s="76"/>
      <c r="EJ154" s="76"/>
      <c r="EK154" s="76"/>
      <c r="EL154" s="76"/>
      <c r="EM154" s="24">
        <f>EM39</f>
        <v>11521.739317535546</v>
      </c>
      <c r="EN154" s="76"/>
      <c r="EO154" s="76"/>
      <c r="EP154" s="24">
        <f>(EP9+EP33+EP75)/3</f>
        <v>7863.4737389770717</v>
      </c>
      <c r="EQ154" s="76"/>
      <c r="ER154" s="76"/>
      <c r="ES154" s="24">
        <f>ES6</f>
        <v>6215.0468314424197</v>
      </c>
      <c r="ET154" s="76"/>
      <c r="EU154" s="76"/>
      <c r="EV154" s="24">
        <f>0</f>
        <v>0</v>
      </c>
      <c r="EW154" s="76"/>
      <c r="EX154" s="113"/>
      <c r="EY154" s="24">
        <f>EP154+ES154+EV154</f>
        <v>14078.520570419492</v>
      </c>
      <c r="EZ154" s="113"/>
      <c r="FA154" s="114"/>
      <c r="FB154" s="24">
        <f>(FB9+FB48)/2</f>
        <v>92436.364003734823</v>
      </c>
      <c r="FC154" s="76"/>
      <c r="FD154" s="76"/>
      <c r="FE154" s="24">
        <f>FE39</f>
        <v>1204.3616</v>
      </c>
      <c r="FF154" s="76"/>
      <c r="FG154" s="76"/>
      <c r="FH154" s="24">
        <f>FH9</f>
        <v>16591.055276381911</v>
      </c>
      <c r="FI154" s="114"/>
      <c r="FJ154" s="114"/>
      <c r="FK154" s="32">
        <f>FB154+FE154+FH154</f>
        <v>110231.78088011674</v>
      </c>
      <c r="FL154" s="114"/>
      <c r="FM154" s="114"/>
      <c r="FN154" s="32">
        <f>(FN33+FN75+FN76)/3</f>
        <v>2245.1434816249853</v>
      </c>
      <c r="FO154" s="76"/>
      <c r="FP154" s="76"/>
      <c r="FQ154" s="24">
        <f>0</f>
        <v>0</v>
      </c>
      <c r="FR154" s="76"/>
      <c r="FS154" s="76"/>
      <c r="FT154" s="24">
        <f>0</f>
        <v>0</v>
      </c>
      <c r="FU154" s="76"/>
      <c r="FV154" s="115"/>
      <c r="FW154" s="32">
        <f t="shared" si="23"/>
        <v>2245.1434816249853</v>
      </c>
      <c r="FX154" s="115"/>
      <c r="FY154" s="23"/>
      <c r="FZ154" s="24">
        <f>Q154+CH154+CK154+CN154</f>
        <v>4964.8207656361274</v>
      </c>
      <c r="GA154" s="24">
        <f>DI154+DU154+EM154+EP154+ES154+EV154+FB154+FH154+FN154+FQ154+FT154</f>
        <v>216920.6448883776</v>
      </c>
      <c r="GB154" s="24">
        <f>FZ154+GA154</f>
        <v>221885.46565401374</v>
      </c>
      <c r="GC154" s="23"/>
    </row>
    <row r="155" spans="1:185" s="83" customFormat="1" x14ac:dyDescent="0.3">
      <c r="A155" s="4"/>
      <c r="B155" s="23"/>
      <c r="C155" s="23"/>
      <c r="D155" s="23"/>
      <c r="E155" s="23"/>
      <c r="F155" s="23"/>
      <c r="G155" s="23"/>
      <c r="H155" s="23"/>
      <c r="I155" s="23"/>
      <c r="J155" s="23"/>
      <c r="K155" s="23"/>
      <c r="L155" s="23"/>
      <c r="M155" s="23"/>
      <c r="N155" s="23"/>
      <c r="O155" s="23"/>
      <c r="P155" s="23"/>
      <c r="Q155" s="31"/>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31"/>
      <c r="CI155" s="23"/>
      <c r="CJ155" s="23"/>
      <c r="CK155" s="31"/>
      <c r="CL155" s="23"/>
      <c r="CM155" s="23"/>
      <c r="CN155" s="31"/>
      <c r="CO155" s="23"/>
      <c r="CP155" s="23"/>
      <c r="CQ155" s="23"/>
      <c r="CR155" s="23"/>
      <c r="CS155" s="23"/>
      <c r="CT155" s="23"/>
      <c r="CU155" s="23"/>
      <c r="CV155" s="23"/>
      <c r="CW155" s="23"/>
      <c r="CX155" s="23"/>
      <c r="CY155" s="23"/>
      <c r="CZ155" s="23"/>
      <c r="DA155" s="23"/>
      <c r="DB155" s="23"/>
      <c r="DC155" s="23"/>
      <c r="DD155" s="23"/>
      <c r="DE155" s="23"/>
      <c r="DF155" s="23"/>
      <c r="DG155" s="23"/>
      <c r="DH155" s="23"/>
      <c r="DI155" s="31"/>
      <c r="DJ155" s="23"/>
      <c r="DK155" s="23"/>
      <c r="DL155" s="23"/>
      <c r="DM155" s="23"/>
      <c r="DN155" s="23"/>
      <c r="DO155" s="23"/>
      <c r="DP155" s="23"/>
      <c r="DQ155" s="23"/>
      <c r="DR155" s="23"/>
      <c r="DS155" s="23"/>
      <c r="DT155" s="23"/>
      <c r="DU155" s="31"/>
      <c r="DV155" s="23"/>
      <c r="DW155" s="23"/>
      <c r="DX155" s="23"/>
      <c r="DY155" s="23"/>
      <c r="DZ155" s="23"/>
      <c r="EA155" s="23"/>
      <c r="EB155" s="23"/>
      <c r="EC155" s="23"/>
      <c r="ED155" s="23"/>
      <c r="EE155" s="23"/>
      <c r="EF155" s="23"/>
      <c r="EG155" s="23"/>
      <c r="EH155" s="23"/>
      <c r="EI155" s="23"/>
      <c r="EJ155" s="23"/>
      <c r="EK155" s="23"/>
      <c r="EL155" s="23"/>
      <c r="EM155" s="31"/>
      <c r="EN155" s="23"/>
      <c r="EO155" s="23"/>
      <c r="EP155" s="31"/>
      <c r="EQ155" s="23"/>
      <c r="ER155" s="23"/>
      <c r="ES155" s="31"/>
      <c r="ET155" s="23"/>
      <c r="EU155" s="23"/>
      <c r="EV155" s="31"/>
      <c r="EW155" s="23"/>
      <c r="EX155" s="23"/>
      <c r="EY155" s="23"/>
      <c r="EZ155" s="23"/>
      <c r="FA155" s="23"/>
      <c r="FB155" s="31"/>
      <c r="FC155" s="23"/>
      <c r="FD155" s="23"/>
      <c r="FE155" s="31"/>
      <c r="FF155" s="23"/>
      <c r="FG155" s="23"/>
      <c r="FH155" s="31"/>
      <c r="FI155" s="23"/>
      <c r="FJ155" s="23"/>
      <c r="FK155" s="23"/>
      <c r="FL155" s="23"/>
      <c r="FM155" s="23"/>
      <c r="FN155" s="31"/>
      <c r="FO155" s="23"/>
      <c r="FP155" s="23"/>
      <c r="FQ155" s="31"/>
      <c r="FR155" s="23"/>
      <c r="FS155" s="23"/>
      <c r="FT155" s="31"/>
      <c r="FU155" s="23"/>
      <c r="FV155" s="23"/>
      <c r="FW155" s="31"/>
      <c r="FX155" s="23"/>
      <c r="FY155" s="23"/>
      <c r="FZ155" s="31"/>
      <c r="GA155" s="16" t="s">
        <v>191</v>
      </c>
      <c r="GB155" s="31"/>
      <c r="GC155" s="23"/>
    </row>
    <row r="156" spans="1:185" s="83" customFormat="1" x14ac:dyDescent="0.3">
      <c r="A156" s="4"/>
      <c r="B156" s="27"/>
      <c r="C156" s="27"/>
      <c r="D156" s="27"/>
      <c r="E156" s="27"/>
      <c r="F156" s="27"/>
      <c r="G156" s="27"/>
      <c r="H156" s="27"/>
      <c r="I156" s="27"/>
      <c r="J156" s="27"/>
      <c r="K156" s="27"/>
      <c r="L156" s="27"/>
      <c r="M156" s="27"/>
      <c r="N156" s="27"/>
      <c r="O156" s="27"/>
      <c r="P156" s="27"/>
      <c r="Q156" s="25"/>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5"/>
      <c r="CI156" s="27"/>
      <c r="CJ156" s="27"/>
      <c r="CK156" s="25"/>
      <c r="CL156" s="27"/>
      <c r="CM156" s="27"/>
      <c r="CN156" s="25"/>
      <c r="CO156" s="27"/>
      <c r="CP156" s="27"/>
      <c r="CQ156" s="27"/>
      <c r="CR156" s="27"/>
      <c r="CS156" s="27"/>
      <c r="CT156" s="27"/>
      <c r="CU156" s="27"/>
      <c r="CV156" s="27"/>
      <c r="CW156" s="27"/>
      <c r="CX156" s="27"/>
      <c r="CY156" s="27"/>
      <c r="CZ156" s="27"/>
      <c r="DA156" s="27"/>
      <c r="DB156" s="27"/>
      <c r="DC156" s="27"/>
      <c r="DD156" s="27"/>
      <c r="DE156" s="27"/>
      <c r="DF156" s="27"/>
      <c r="DG156" s="27"/>
      <c r="DH156" s="27"/>
      <c r="DI156" s="25"/>
      <c r="DJ156" s="27"/>
      <c r="DK156" s="27"/>
      <c r="DL156" s="27"/>
      <c r="DM156" s="27"/>
      <c r="DN156" s="27"/>
      <c r="DO156" s="27"/>
      <c r="DP156" s="27"/>
      <c r="DQ156" s="27"/>
      <c r="DR156" s="27"/>
      <c r="DS156" s="27"/>
      <c r="DT156" s="27"/>
      <c r="DU156" s="25"/>
      <c r="DV156" s="27"/>
      <c r="DW156" s="27"/>
      <c r="DX156" s="27"/>
      <c r="DY156" s="27"/>
      <c r="DZ156" s="27"/>
      <c r="EA156" s="27"/>
      <c r="EB156" s="27"/>
      <c r="EC156" s="27"/>
      <c r="ED156" s="27"/>
      <c r="EE156" s="27"/>
      <c r="EF156" s="27"/>
      <c r="EG156" s="27"/>
      <c r="EH156" s="27"/>
      <c r="EI156" s="27"/>
      <c r="EJ156" s="27"/>
      <c r="EK156" s="27"/>
      <c r="EL156" s="27"/>
      <c r="EM156" s="25"/>
      <c r="EN156" s="27"/>
      <c r="EO156" s="27"/>
      <c r="EP156" s="25"/>
      <c r="EQ156" s="27"/>
      <c r="ER156" s="27"/>
      <c r="ES156" s="25"/>
      <c r="ET156" s="27"/>
      <c r="EU156" s="27"/>
      <c r="EV156" s="25"/>
      <c r="EW156" s="27"/>
      <c r="EX156" s="27"/>
      <c r="EY156" s="27"/>
      <c r="EZ156" s="27"/>
      <c r="FA156" s="27"/>
      <c r="FB156" s="25"/>
      <c r="FC156" s="27"/>
      <c r="FD156" s="27"/>
      <c r="FE156" s="25"/>
      <c r="FF156" s="27"/>
      <c r="FG156" s="27"/>
      <c r="FH156" s="25"/>
      <c r="FI156" s="27"/>
      <c r="FJ156" s="27"/>
      <c r="FK156" s="27"/>
      <c r="FL156" s="27"/>
      <c r="FM156" s="27"/>
      <c r="FN156" s="25"/>
      <c r="FO156" s="27"/>
      <c r="FP156" s="27"/>
      <c r="FQ156" s="25"/>
      <c r="FR156" s="27"/>
      <c r="FS156" s="27"/>
      <c r="FT156" s="25"/>
      <c r="FU156" s="27"/>
      <c r="FV156" s="27"/>
      <c r="FW156" s="25"/>
      <c r="FX156" s="27"/>
      <c r="FY156" s="27"/>
      <c r="FZ156" s="47" t="s">
        <v>145</v>
      </c>
      <c r="GA156" s="47" t="s">
        <v>146</v>
      </c>
      <c r="GB156" s="47" t="s">
        <v>147</v>
      </c>
      <c r="GC156" s="23"/>
    </row>
    <row r="157" spans="1:185" s="83" customFormat="1" x14ac:dyDescent="0.3">
      <c r="A157" s="4"/>
      <c r="B157" s="76"/>
      <c r="C157" s="95"/>
      <c r="D157" s="75" t="s">
        <v>129</v>
      </c>
      <c r="E157" s="76">
        <v>4</v>
      </c>
      <c r="F157" s="114"/>
      <c r="G157" s="76"/>
      <c r="H157" s="76"/>
      <c r="I157" s="76"/>
      <c r="J157" s="76"/>
      <c r="K157" s="76"/>
      <c r="L157" s="76"/>
      <c r="M157" s="76"/>
      <c r="N157" s="76"/>
      <c r="O157" s="76"/>
      <c r="P157" s="76"/>
      <c r="Q157" s="24">
        <f>Q39+R39</f>
        <v>3434.0473201158643</v>
      </c>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24">
        <f>CH39+CI39</f>
        <v>2945.8373459911713</v>
      </c>
      <c r="CI157" s="76"/>
      <c r="CJ157" s="76"/>
      <c r="CK157" s="24">
        <f>CK39+CL39</f>
        <v>70.854234746238731</v>
      </c>
      <c r="CL157" s="76"/>
      <c r="CM157" s="76"/>
      <c r="CN157" s="24">
        <f>CN47</f>
        <v>54.874264524103836</v>
      </c>
      <c r="CO157" s="76"/>
      <c r="CP157" s="113"/>
      <c r="CQ157" s="24">
        <f>CK157+CN157</f>
        <v>125.72849927034257</v>
      </c>
      <c r="CR157" s="113"/>
      <c r="CS157" s="114"/>
      <c r="CT157" s="76"/>
      <c r="CU157" s="76"/>
      <c r="CV157" s="76"/>
      <c r="CW157" s="76"/>
      <c r="CX157" s="76"/>
      <c r="CY157" s="76"/>
      <c r="CZ157" s="76"/>
      <c r="DA157" s="76"/>
      <c r="DB157" s="76"/>
      <c r="DC157" s="76"/>
      <c r="DD157" s="76"/>
      <c r="DE157" s="76"/>
      <c r="DF157" s="76"/>
      <c r="DG157" s="76"/>
      <c r="DH157" s="76"/>
      <c r="DI157" s="24">
        <f>(DI34*(Prop_priv_accom+Prop_Not_stated))+(DI35*Prop_supported)+(DI36*Prop_residential)+(DI37*Prop_hosp)</f>
        <v>86334.799424324665</v>
      </c>
      <c r="DJ157" s="76"/>
      <c r="DK157" s="76"/>
      <c r="DL157" s="76"/>
      <c r="DM157" s="76"/>
      <c r="DN157" s="76"/>
      <c r="DO157" s="76"/>
      <c r="DP157" s="76"/>
      <c r="DQ157" s="76"/>
      <c r="DR157" s="76"/>
      <c r="DS157" s="76"/>
      <c r="DT157" s="76"/>
      <c r="DU157" s="24">
        <f>0</f>
        <v>0</v>
      </c>
      <c r="DV157" s="76"/>
      <c r="DW157" s="76"/>
      <c r="DX157" s="76"/>
      <c r="DY157" s="76"/>
      <c r="DZ157" s="76"/>
      <c r="EA157" s="76"/>
      <c r="EB157" s="76"/>
      <c r="EC157" s="76"/>
      <c r="ED157" s="76"/>
      <c r="EE157" s="76"/>
      <c r="EF157" s="76"/>
      <c r="EG157" s="76"/>
      <c r="EH157" s="76"/>
      <c r="EI157" s="76"/>
      <c r="EJ157" s="76"/>
      <c r="EK157" s="76"/>
      <c r="EL157" s="76"/>
      <c r="EM157" s="24">
        <f>EM39+EN39</f>
        <v>13515.405638643237</v>
      </c>
      <c r="EN157" s="76"/>
      <c r="EO157" s="76"/>
      <c r="EP157" s="24">
        <f>(EP33+EP75)/2</f>
        <v>8460.0735714285711</v>
      </c>
      <c r="EQ157" s="76"/>
      <c r="ER157" s="76"/>
      <c r="ES157" s="24">
        <f>ES6</f>
        <v>6215.0468314424197</v>
      </c>
      <c r="ET157" s="76"/>
      <c r="EU157" s="76"/>
      <c r="EV157" s="24">
        <f>0</f>
        <v>0</v>
      </c>
      <c r="EW157" s="76"/>
      <c r="EX157" s="113"/>
      <c r="EY157" s="24">
        <f>EP157+ES157+EV157</f>
        <v>14675.120402870991</v>
      </c>
      <c r="EZ157" s="113"/>
      <c r="FA157" s="114"/>
      <c r="FB157" s="24">
        <f>(FB7+FB48)/2</f>
        <v>71844.955071272954</v>
      </c>
      <c r="FC157" s="76"/>
      <c r="FD157" s="76"/>
      <c r="FE157" s="24">
        <f>FE39+FF39</f>
        <v>1765.5807993413268</v>
      </c>
      <c r="FF157" s="76"/>
      <c r="FG157" s="76"/>
      <c r="FH157" s="24">
        <f>FH7</f>
        <v>14199.535175879397</v>
      </c>
      <c r="FI157" s="76"/>
      <c r="FJ157" s="113"/>
      <c r="FK157" s="32">
        <f>FB157+FE157+FH157</f>
        <v>87810.071046493686</v>
      </c>
      <c r="FL157" s="114"/>
      <c r="FM157" s="114"/>
      <c r="FN157" s="32">
        <f>FN76</f>
        <v>2328.9834448749561</v>
      </c>
      <c r="FO157" s="76"/>
      <c r="FP157" s="76"/>
      <c r="FQ157" s="24">
        <f>0</f>
        <v>0</v>
      </c>
      <c r="FR157" s="76"/>
      <c r="FS157" s="76"/>
      <c r="FT157" s="24">
        <f>0</f>
        <v>0</v>
      </c>
      <c r="FU157" s="76"/>
      <c r="FV157" s="115"/>
      <c r="FW157" s="32">
        <f t="shared" si="23"/>
        <v>2328.9834448749561</v>
      </c>
      <c r="FX157" s="115"/>
      <c r="FY157" s="23"/>
      <c r="FZ157" s="24">
        <f>Q157+CH157+CK157+CN157</f>
        <v>6505.6131653773782</v>
      </c>
      <c r="GA157" s="24">
        <f>DI157+DU157+EM157+EP157+ES157+EV157+FB157+FE157+FH157+FN147+FQ157+FT157</f>
        <v>204546.67651233257</v>
      </c>
      <c r="GB157" s="24">
        <f>FZ157+GA157</f>
        <v>211052.28967770995</v>
      </c>
      <c r="GC157" s="23"/>
    </row>
    <row r="158" spans="1:185" s="83" customFormat="1" x14ac:dyDescent="0.3">
      <c r="A158" s="4"/>
      <c r="B158" s="76"/>
      <c r="C158" s="95"/>
      <c r="D158" s="75" t="s">
        <v>130</v>
      </c>
      <c r="E158" s="76">
        <v>4</v>
      </c>
      <c r="F158" s="114"/>
      <c r="G158" s="76"/>
      <c r="H158" s="76"/>
      <c r="I158" s="76"/>
      <c r="J158" s="76"/>
      <c r="K158" s="76"/>
      <c r="L158" s="76"/>
      <c r="M158" s="76"/>
      <c r="N158" s="76"/>
      <c r="O158" s="76"/>
      <c r="P158" s="76"/>
      <c r="Q158" s="24">
        <f>Q39+R39</f>
        <v>3434.0473201158643</v>
      </c>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24">
        <f>CH39+CI39</f>
        <v>2945.8373459911713</v>
      </c>
      <c r="CI158" s="76"/>
      <c r="CJ158" s="76"/>
      <c r="CK158" s="24">
        <f>CK39+CL39</f>
        <v>70.854234746238731</v>
      </c>
      <c r="CL158" s="76"/>
      <c r="CM158" s="76"/>
      <c r="CN158" s="24">
        <f>CN47</f>
        <v>54.874264524103836</v>
      </c>
      <c r="CO158" s="76"/>
      <c r="CP158" s="113"/>
      <c r="CQ158" s="24">
        <f>CK158+CN158</f>
        <v>125.72849927034257</v>
      </c>
      <c r="CR158" s="113"/>
      <c r="CS158" s="114"/>
      <c r="CT158" s="76"/>
      <c r="CU158" s="76"/>
      <c r="CV158" s="76"/>
      <c r="CW158" s="76"/>
      <c r="CX158" s="76"/>
      <c r="CY158" s="76"/>
      <c r="CZ158" s="76"/>
      <c r="DA158" s="76"/>
      <c r="DB158" s="76"/>
      <c r="DC158" s="76"/>
      <c r="DD158" s="76"/>
      <c r="DE158" s="76"/>
      <c r="DF158" s="76"/>
      <c r="DG158" s="76"/>
      <c r="DH158" s="76"/>
      <c r="DI158" s="24">
        <f>(DI34*(Prop_priv_accom+Prop_Not_stated))+(DI35*Prop_supported)+(DI36*Prop_residential)+(DI37*Prop_hosp)</f>
        <v>86334.799424324665</v>
      </c>
      <c r="DJ158" s="76"/>
      <c r="DK158" s="76"/>
      <c r="DL158" s="76"/>
      <c r="DM158" s="76"/>
      <c r="DN158" s="76"/>
      <c r="DO158" s="76"/>
      <c r="DP158" s="76"/>
      <c r="DQ158" s="76"/>
      <c r="DR158" s="76"/>
      <c r="DS158" s="76"/>
      <c r="DT158" s="76"/>
      <c r="DU158" s="24">
        <f>0</f>
        <v>0</v>
      </c>
      <c r="DV158" s="76"/>
      <c r="DW158" s="76"/>
      <c r="DX158" s="76"/>
      <c r="DY158" s="76"/>
      <c r="DZ158" s="76"/>
      <c r="EA158" s="76"/>
      <c r="EB158" s="76"/>
      <c r="EC158" s="76"/>
      <c r="ED158" s="76"/>
      <c r="EE158" s="76"/>
      <c r="EF158" s="76"/>
      <c r="EG158" s="76"/>
      <c r="EH158" s="76"/>
      <c r="EI158" s="76"/>
      <c r="EJ158" s="76"/>
      <c r="EK158" s="76"/>
      <c r="EL158" s="76"/>
      <c r="EM158" s="24">
        <f>EM39+EN39</f>
        <v>13515.405638643237</v>
      </c>
      <c r="EN158" s="76"/>
      <c r="EO158" s="76"/>
      <c r="EP158" s="24">
        <f>(EP33+EP75)/2</f>
        <v>8460.0735714285711</v>
      </c>
      <c r="EQ158" s="76"/>
      <c r="ER158" s="76"/>
      <c r="ES158" s="24">
        <f>ES6</f>
        <v>6215.0468314424197</v>
      </c>
      <c r="ET158" s="76"/>
      <c r="EU158" s="76"/>
      <c r="EV158" s="24">
        <f>0</f>
        <v>0</v>
      </c>
      <c r="EW158" s="76"/>
      <c r="EX158" s="113"/>
      <c r="EY158" s="24">
        <f>EP158+ES158+EV158</f>
        <v>14675.120402870991</v>
      </c>
      <c r="EZ158" s="113"/>
      <c r="FA158" s="114"/>
      <c r="FB158" s="24">
        <f>(FB8+FB48)/2</f>
        <v>77789.246792405844</v>
      </c>
      <c r="FC158" s="76"/>
      <c r="FD158" s="76"/>
      <c r="FE158" s="24">
        <f>FE39+FF39</f>
        <v>1765.5807993413268</v>
      </c>
      <c r="FF158" s="76"/>
      <c r="FG158" s="76"/>
      <c r="FH158" s="24">
        <f>FH8</f>
        <v>23145.11306532663</v>
      </c>
      <c r="FI158" s="76"/>
      <c r="FJ158" s="113"/>
      <c r="FK158" s="32">
        <f>FB153+FE153+FH153</f>
        <v>99608.649392995459</v>
      </c>
      <c r="FL158" s="114"/>
      <c r="FM158" s="114"/>
      <c r="FN158" s="32">
        <f>FN76</f>
        <v>2328.9834448749561</v>
      </c>
      <c r="FO158" s="76"/>
      <c r="FP158" s="76"/>
      <c r="FQ158" s="24">
        <f>0</f>
        <v>0</v>
      </c>
      <c r="FR158" s="76"/>
      <c r="FS158" s="76"/>
      <c r="FT158" s="24">
        <f>0</f>
        <v>0</v>
      </c>
      <c r="FU158" s="76"/>
      <c r="FV158" s="115"/>
      <c r="FW158" s="32">
        <f t="shared" si="23"/>
        <v>2328.9834448749561</v>
      </c>
      <c r="FX158" s="115"/>
      <c r="FY158" s="23"/>
      <c r="FZ158" s="24">
        <f>Q158+CH158+CK158+CN158</f>
        <v>6505.6131653773782</v>
      </c>
      <c r="GA158" s="24">
        <f>DI158+DU158+EM158+EP158+ES158+EV158+FB158+FE158+FH158+FN148+FQ158+FT158</f>
        <v>219436.5461229127</v>
      </c>
      <c r="GB158" s="24">
        <f>FZ158+GA158</f>
        <v>225942.15928829007</v>
      </c>
      <c r="GC158" s="23"/>
    </row>
    <row r="159" spans="1:185" s="83" customFormat="1" x14ac:dyDescent="0.3">
      <c r="A159" s="4"/>
      <c r="B159" s="76"/>
      <c r="C159" s="95"/>
      <c r="D159" s="75" t="s">
        <v>149</v>
      </c>
      <c r="E159" s="76">
        <v>4</v>
      </c>
      <c r="F159" s="114"/>
      <c r="G159" s="76"/>
      <c r="H159" s="76"/>
      <c r="I159" s="76"/>
      <c r="J159" s="76"/>
      <c r="K159" s="76"/>
      <c r="L159" s="76"/>
      <c r="M159" s="76"/>
      <c r="N159" s="76"/>
      <c r="O159" s="76"/>
      <c r="P159" s="76"/>
      <c r="Q159" s="24">
        <f>Q39+R39</f>
        <v>3434.0473201158643</v>
      </c>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24">
        <f>CH39+CI39</f>
        <v>2945.8373459911713</v>
      </c>
      <c r="CI159" s="76"/>
      <c r="CJ159" s="76"/>
      <c r="CK159" s="24">
        <f>CK39+CL39</f>
        <v>70.854234746238731</v>
      </c>
      <c r="CL159" s="76"/>
      <c r="CM159" s="76"/>
      <c r="CN159" s="24">
        <f>CN54</f>
        <v>280.33321243523318</v>
      </c>
      <c r="CO159" s="76"/>
      <c r="CP159" s="113"/>
      <c r="CQ159" s="24">
        <f>CK159+CN159</f>
        <v>351.1874471814719</v>
      </c>
      <c r="CR159" s="113"/>
      <c r="CS159" s="114"/>
      <c r="CT159" s="76"/>
      <c r="CU159" s="76"/>
      <c r="CV159" s="76"/>
      <c r="CW159" s="76"/>
      <c r="CX159" s="76"/>
      <c r="CY159" s="76"/>
      <c r="CZ159" s="76"/>
      <c r="DA159" s="76"/>
      <c r="DB159" s="76"/>
      <c r="DC159" s="76"/>
      <c r="DD159" s="76"/>
      <c r="DE159" s="76"/>
      <c r="DF159" s="76"/>
      <c r="DG159" s="76"/>
      <c r="DH159" s="76"/>
      <c r="DI159" s="24">
        <f>(DI34*Prop_priv_accom)+(DI35*Prop_supported)+(DI36*Prop_residential)+(DI37*(Prop_hosp+Prop_Not_stated))</f>
        <v>91881.62535821092</v>
      </c>
      <c r="DJ159" s="76"/>
      <c r="DK159" s="76"/>
      <c r="DL159" s="76"/>
      <c r="DM159" s="76"/>
      <c r="DN159" s="76"/>
      <c r="DO159" s="76"/>
      <c r="DP159" s="76"/>
      <c r="DQ159" s="76"/>
      <c r="DR159" s="76"/>
      <c r="DS159" s="76"/>
      <c r="DT159" s="76"/>
      <c r="DU159" s="24">
        <f>0</f>
        <v>0</v>
      </c>
      <c r="DV159" s="76"/>
      <c r="DW159" s="76"/>
      <c r="DX159" s="76"/>
      <c r="DY159" s="76"/>
      <c r="DZ159" s="76"/>
      <c r="EA159" s="76"/>
      <c r="EB159" s="76"/>
      <c r="EC159" s="76"/>
      <c r="ED159" s="76"/>
      <c r="EE159" s="76"/>
      <c r="EF159" s="76"/>
      <c r="EG159" s="76"/>
      <c r="EH159" s="76"/>
      <c r="EI159" s="76"/>
      <c r="EJ159" s="76"/>
      <c r="EK159" s="76"/>
      <c r="EL159" s="76"/>
      <c r="EM159" s="24">
        <f>EM39+EN39</f>
        <v>13515.405638643237</v>
      </c>
      <c r="EN159" s="76"/>
      <c r="EO159" s="76"/>
      <c r="EP159" s="24">
        <f>(EP33+EP75)/2</f>
        <v>8460.0735714285711</v>
      </c>
      <c r="EQ159" s="76"/>
      <c r="ER159" s="76"/>
      <c r="ES159" s="24">
        <f>ES6</f>
        <v>6215.0468314424197</v>
      </c>
      <c r="ET159" s="76"/>
      <c r="EU159" s="76"/>
      <c r="EV159" s="24">
        <f>0</f>
        <v>0</v>
      </c>
      <c r="EW159" s="76"/>
      <c r="EX159" s="113"/>
      <c r="EY159" s="24">
        <f>EP159+ES159+EV159</f>
        <v>14675.120402870991</v>
      </c>
      <c r="EZ159" s="113"/>
      <c r="FA159" s="114"/>
      <c r="FB159" s="24">
        <f>FB9</f>
        <v>104553.40915032678</v>
      </c>
      <c r="FC159" s="76"/>
      <c r="FD159" s="76"/>
      <c r="FE159" s="24">
        <f>FE39+FF39</f>
        <v>1765.5807993413268</v>
      </c>
      <c r="FF159" s="76"/>
      <c r="FG159" s="76"/>
      <c r="FH159" s="24">
        <f>FH9</f>
        <v>16591.055276381911</v>
      </c>
      <c r="FI159" s="76"/>
      <c r="FJ159" s="113"/>
      <c r="FK159" s="32">
        <f>FB159+FE159+FH159</f>
        <v>122910.04522605003</v>
      </c>
      <c r="FL159" s="114"/>
      <c r="FM159" s="114"/>
      <c r="FN159" s="32">
        <f>FN76</f>
        <v>2328.9834448749561</v>
      </c>
      <c r="FO159" s="76"/>
      <c r="FP159" s="76"/>
      <c r="FQ159" s="24">
        <f>0</f>
        <v>0</v>
      </c>
      <c r="FR159" s="76"/>
      <c r="FS159" s="76"/>
      <c r="FT159" s="24">
        <f>0</f>
        <v>0</v>
      </c>
      <c r="FU159" s="76"/>
      <c r="FV159" s="115"/>
      <c r="FW159" s="32">
        <f t="shared" si="23"/>
        <v>2328.9834448749561</v>
      </c>
      <c r="FX159" s="115"/>
      <c r="FY159" s="23"/>
      <c r="FZ159" s="24">
        <f>Q159+CH159+CK159+CN159</f>
        <v>6731.0721132885074</v>
      </c>
      <c r="GA159" s="24">
        <f>DI159+DU159+EM159+EP159+ES159+EV159+FB159+FE159+FH159+FN149+FQ159+FT159</f>
        <v>245193.47662577513</v>
      </c>
      <c r="GB159" s="24">
        <f>FZ159+GA159</f>
        <v>251924.54873906364</v>
      </c>
      <c r="GC159" s="23"/>
    </row>
    <row r="160" spans="1:185" s="83" customFormat="1" x14ac:dyDescent="0.3">
      <c r="A160" s="4"/>
      <c r="B160" s="23"/>
      <c r="C160" s="23"/>
      <c r="D160" s="23"/>
      <c r="E160" s="23"/>
      <c r="F160" s="23"/>
      <c r="G160" s="23"/>
      <c r="H160" s="23"/>
      <c r="I160" s="23"/>
      <c r="J160" s="23"/>
      <c r="K160" s="23"/>
      <c r="L160" s="23"/>
      <c r="M160" s="23"/>
      <c r="N160" s="23"/>
      <c r="O160" s="23"/>
      <c r="P160" s="23"/>
      <c r="Q160" s="31"/>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31"/>
      <c r="CI160" s="23"/>
      <c r="CJ160" s="23"/>
      <c r="CK160" s="31"/>
      <c r="CL160" s="23"/>
      <c r="CM160" s="23"/>
      <c r="CN160" s="31"/>
      <c r="CO160" s="23"/>
      <c r="CP160" s="23"/>
      <c r="CQ160" s="23"/>
      <c r="CR160" s="23"/>
      <c r="CS160" s="23"/>
      <c r="CT160" s="23"/>
      <c r="CU160" s="23"/>
      <c r="CV160" s="23"/>
      <c r="CW160" s="23"/>
      <c r="CX160" s="23"/>
      <c r="CY160" s="23"/>
      <c r="CZ160" s="23"/>
      <c r="DA160" s="23"/>
      <c r="DB160" s="23"/>
      <c r="DC160" s="23"/>
      <c r="DD160" s="23"/>
      <c r="DE160" s="23"/>
      <c r="DF160" s="23"/>
      <c r="DG160" s="23"/>
      <c r="DH160" s="23"/>
      <c r="DI160" s="31"/>
      <c r="DJ160" s="23"/>
      <c r="DK160" s="23"/>
      <c r="DL160" s="23"/>
      <c r="DM160" s="23"/>
      <c r="DN160" s="23"/>
      <c r="DO160" s="23"/>
      <c r="DP160" s="23"/>
      <c r="DQ160" s="23"/>
      <c r="DR160" s="23"/>
      <c r="DS160" s="23"/>
      <c r="DT160" s="23"/>
      <c r="DU160" s="31"/>
      <c r="DV160" s="23"/>
      <c r="DW160" s="23"/>
      <c r="DX160" s="23"/>
      <c r="DY160" s="23"/>
      <c r="DZ160" s="23"/>
      <c r="EA160" s="23"/>
      <c r="EB160" s="23"/>
      <c r="EC160" s="23"/>
      <c r="ED160" s="23"/>
      <c r="EE160" s="23"/>
      <c r="EF160" s="23"/>
      <c r="EG160" s="23"/>
      <c r="EH160" s="23"/>
      <c r="EI160" s="23"/>
      <c r="EJ160" s="23"/>
      <c r="EK160" s="23"/>
      <c r="EL160" s="23"/>
      <c r="EM160" s="31"/>
      <c r="EN160" s="23"/>
      <c r="EO160" s="23"/>
      <c r="EP160" s="31"/>
      <c r="EQ160" s="23"/>
      <c r="ER160" s="23"/>
      <c r="ES160" s="31"/>
      <c r="ET160" s="23"/>
      <c r="EU160" s="23"/>
      <c r="EV160" s="31"/>
      <c r="EW160" s="23"/>
      <c r="EX160" s="23"/>
      <c r="EY160" s="23"/>
      <c r="EZ160" s="23"/>
      <c r="FA160" s="23"/>
      <c r="FB160" s="31"/>
      <c r="FC160" s="23"/>
      <c r="FD160" s="23"/>
      <c r="FE160" s="31"/>
      <c r="FF160" s="23"/>
      <c r="FG160" s="23"/>
      <c r="FH160" s="31"/>
      <c r="FI160" s="23"/>
      <c r="FJ160" s="23"/>
      <c r="FK160" s="23"/>
      <c r="FL160" s="23"/>
      <c r="FM160" s="23"/>
      <c r="FN160" s="31"/>
      <c r="FO160" s="23"/>
      <c r="FP160" s="23"/>
      <c r="FQ160" s="31"/>
      <c r="FR160" s="23"/>
      <c r="FS160" s="23"/>
      <c r="FT160" s="31"/>
      <c r="FU160" s="23"/>
      <c r="FV160" s="23"/>
      <c r="FW160" s="23"/>
      <c r="FX160" s="23"/>
      <c r="FY160" s="23"/>
      <c r="FZ160" s="31"/>
      <c r="GA160" s="31"/>
      <c r="GB160" s="31"/>
      <c r="GC160" s="23"/>
    </row>
    <row r="161" spans="1:185"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3"/>
      <c r="FZ161" s="4"/>
      <c r="GA161" s="4"/>
      <c r="GB161" s="4"/>
      <c r="GC161" s="3"/>
    </row>
    <row r="162" spans="1:185" x14ac:dyDescent="0.3">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row>
  </sheetData>
  <autoFilter ref="E5:E159"/>
  <mergeCells count="33">
    <mergeCell ref="B69:B76"/>
    <mergeCell ref="F69:F76"/>
    <mergeCell ref="F62:F67"/>
    <mergeCell ref="C62:C67"/>
    <mergeCell ref="B62:B67"/>
    <mergeCell ref="C69:C76"/>
    <mergeCell ref="B59:B60"/>
    <mergeCell ref="F59:F60"/>
    <mergeCell ref="B50:B52"/>
    <mergeCell ref="F50:F52"/>
    <mergeCell ref="B54:B55"/>
    <mergeCell ref="F54:F55"/>
    <mergeCell ref="C50:C52"/>
    <mergeCell ref="C54:C55"/>
    <mergeCell ref="C59:C60"/>
    <mergeCell ref="B41:B42"/>
    <mergeCell ref="F41:F42"/>
    <mergeCell ref="B44:B45"/>
    <mergeCell ref="F44:F45"/>
    <mergeCell ref="F47:F48"/>
    <mergeCell ref="B47:B48"/>
    <mergeCell ref="C41:C42"/>
    <mergeCell ref="C44:C45"/>
    <mergeCell ref="C47:C48"/>
    <mergeCell ref="B6:B10"/>
    <mergeCell ref="B12:B20"/>
    <mergeCell ref="F6:F10"/>
    <mergeCell ref="F12:F20"/>
    <mergeCell ref="B30:B37"/>
    <mergeCell ref="F30:F37"/>
    <mergeCell ref="C6:C10"/>
    <mergeCell ref="C12:C20"/>
    <mergeCell ref="C30:C3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workbookViewId="0">
      <pane xSplit="3" ySplit="3" topLeftCell="D4" activePane="bottomRight" state="frozen"/>
      <selection pane="topRight" activeCell="D1" sqref="D1"/>
      <selection pane="bottomLeft" activeCell="A4" sqref="A4"/>
      <selection pane="bottomRight" activeCell="M63" sqref="M63"/>
    </sheetView>
  </sheetViews>
  <sheetFormatPr defaultRowHeight="14" x14ac:dyDescent="0.3"/>
  <cols>
    <col min="1" max="1" width="1.6328125" style="82" customWidth="1"/>
    <col min="2" max="2" width="29.08984375" style="82" customWidth="1"/>
    <col min="3" max="6" width="20.6328125" style="82" customWidth="1"/>
    <col min="7" max="13" width="22.7265625" style="83" customWidth="1"/>
    <col min="14" max="15" width="20.6328125" style="83" customWidth="1"/>
    <col min="16" max="16384" width="8.7265625" style="82"/>
  </cols>
  <sheetData>
    <row r="1" spans="1:16" ht="20" x14ac:dyDescent="0.4">
      <c r="A1" s="4"/>
      <c r="B1" s="6" t="s">
        <v>252</v>
      </c>
      <c r="C1" s="6"/>
      <c r="D1" s="6"/>
      <c r="E1" s="6"/>
      <c r="F1" s="6"/>
      <c r="G1" s="27"/>
      <c r="H1" s="27"/>
      <c r="I1" s="27"/>
      <c r="J1" s="27"/>
      <c r="K1" s="27"/>
      <c r="L1" s="27"/>
      <c r="M1" s="27"/>
      <c r="N1" s="27"/>
      <c r="O1" s="27"/>
      <c r="P1" s="4"/>
    </row>
    <row r="2" spans="1:16" x14ac:dyDescent="0.3">
      <c r="A2" s="4"/>
      <c r="B2" s="1"/>
      <c r="C2" s="1"/>
      <c r="D2" s="1"/>
      <c r="E2" s="1"/>
      <c r="F2" s="1"/>
      <c r="G2" s="113"/>
      <c r="H2" s="115"/>
      <c r="I2" s="115"/>
      <c r="J2" s="115"/>
      <c r="K2" s="115"/>
      <c r="L2" s="115"/>
      <c r="M2" s="115"/>
      <c r="N2" s="113"/>
      <c r="O2" s="113"/>
      <c r="P2" s="4"/>
    </row>
    <row r="3" spans="1:16" s="83" customFormat="1" ht="28" x14ac:dyDescent="0.35">
      <c r="A3" s="27"/>
      <c r="B3" s="122" t="s">
        <v>22</v>
      </c>
      <c r="C3" s="122" t="s">
        <v>258</v>
      </c>
      <c r="D3" s="127" t="s">
        <v>280</v>
      </c>
      <c r="E3" s="127" t="s">
        <v>64</v>
      </c>
      <c r="F3" s="127" t="s">
        <v>281</v>
      </c>
      <c r="G3" s="127" t="s">
        <v>255</v>
      </c>
      <c r="H3" s="127" t="s">
        <v>71</v>
      </c>
      <c r="I3" s="127" t="s">
        <v>60</v>
      </c>
      <c r="J3" s="127" t="s">
        <v>65</v>
      </c>
      <c r="K3" s="127" t="s">
        <v>85</v>
      </c>
      <c r="L3" s="127" t="s">
        <v>82</v>
      </c>
      <c r="M3" s="127" t="s">
        <v>84</v>
      </c>
      <c r="N3" s="127" t="s">
        <v>256</v>
      </c>
      <c r="O3" s="127" t="s">
        <v>257</v>
      </c>
      <c r="P3" s="27"/>
    </row>
    <row r="4" spans="1:16" s="83" customFormat="1" x14ac:dyDescent="0.35">
      <c r="A4" s="27"/>
      <c r="B4" s="135" t="s">
        <v>132</v>
      </c>
      <c r="C4" s="115" t="s">
        <v>259</v>
      </c>
      <c r="D4" s="123">
        <f>AVERAGE(Intellectual_Disability_Data!Q81,Intellectual_Disability_Data!Q92,Intellectual_Disability_Data!Q103)</f>
        <v>13430.50580110497</v>
      </c>
      <c r="E4" s="123">
        <f>AVERAGE(Intellectual_Disability_Data!CH81,Intellectual_Disability_Data!CH92,Intellectual_Disability_Data!CH103)</f>
        <v>961.56949052132711</v>
      </c>
      <c r="F4" s="123">
        <f>AVERAGE(Intellectual_Disability_Data!CQ81,Intellectual_Disability_Data!CQ92,Intellectual_Disability_Data!CQ103)</f>
        <v>40.298288009888758</v>
      </c>
      <c r="G4" s="123">
        <f>AVERAGE(Intellectual_Disability_Data!FZ81,Intellectual_Disability_Data!FZ92,Intellectual_Disability_Data!FZ103)</f>
        <v>14432.373579636187</v>
      </c>
      <c r="H4" s="123">
        <f>AVERAGE(Intellectual_Disability_Data!DI81,Intellectual_Disability_Data!DI92,Intellectual_Disability_Data!DI103)</f>
        <v>984.06511669017982</v>
      </c>
      <c r="I4" s="123">
        <f>AVERAGE(Intellectual_Disability_Data!DU81,Intellectual_Disability_Data!DU92,Intellectual_Disability_Data!DU103)</f>
        <v>2521.0851820128478</v>
      </c>
      <c r="J4" s="123">
        <f>AVERAGE(Intellectual_Disability_Data!EM81,Intellectual_Disability_Data!EM92,Intellectual_Disability_Data!EM103)</f>
        <v>6163.1976817215245</v>
      </c>
      <c r="K4" s="123">
        <f>AVERAGE(Intellectual_Disability_Data!EY81,Intellectual_Disability_Data!EY92,Intellectual_Disability_Data!EY103)</f>
        <v>12153.984141996158</v>
      </c>
      <c r="L4" s="123">
        <f>AVERAGE(Intellectual_Disability_Data!FK81,Intellectual_Disability_Data!FK92,Intellectual_Disability_Data!FK103)</f>
        <v>14370.024777140543</v>
      </c>
      <c r="M4" s="123">
        <f>AVERAGE(Intellectual_Disability_Data!FW81,Intellectual_Disability_Data!FW92,Intellectual_Disability_Data!FW103)</f>
        <v>10321.152058683754</v>
      </c>
      <c r="N4" s="123">
        <f>AVERAGE(Intellectual_Disability_Data!GA81,Intellectual_Disability_Data!GA92,Intellectual_Disability_Data!GA103)</f>
        <v>46513.508958245009</v>
      </c>
      <c r="O4" s="123">
        <f>AVERAGE(Intellectual_Disability_Data!GB81,Intellectual_Disability_Data!GB92,Intellectual_Disability_Data!GB103)</f>
        <v>60945.882537881196</v>
      </c>
      <c r="P4" s="27"/>
    </row>
    <row r="5" spans="1:16" s="83" customFormat="1" ht="14.5" x14ac:dyDescent="0.35">
      <c r="A5" s="27"/>
      <c r="B5" s="135"/>
      <c r="C5" s="129" t="s">
        <v>260</v>
      </c>
      <c r="D5" s="126">
        <f>Intellectual_Disability_Data!Q81</f>
        <v>9222.3765745856363</v>
      </c>
      <c r="E5" s="126">
        <f>Intellectual_Disability_Data!CH81</f>
        <v>961.569490521327</v>
      </c>
      <c r="F5" s="126">
        <f>Intellectual_Disability_Data!CQ81</f>
        <v>25.722311495673676</v>
      </c>
      <c r="G5" s="126">
        <f>Intellectual_Disability_Data!FZ81</f>
        <v>10209.668376602638</v>
      </c>
      <c r="H5" s="126">
        <f>Intellectual_Disability_Data!DI81</f>
        <v>374.15281266856766</v>
      </c>
      <c r="I5" s="126">
        <f>Intellectual_Disability_Data!DU81</f>
        <v>0</v>
      </c>
      <c r="J5" s="126">
        <f>Intellectual_Disability_Data!EM81</f>
        <v>0</v>
      </c>
      <c r="K5" s="126">
        <f>Intellectual_Disability_Data!EY92</f>
        <v>11847.794923045472</v>
      </c>
      <c r="L5" s="126">
        <f>Intellectual_Disability_Data!FK81</f>
        <v>14370.024777140543</v>
      </c>
      <c r="M5" s="126">
        <f>Intellectual_Disability_Data!FW81</f>
        <v>0</v>
      </c>
      <c r="N5" s="126">
        <f>Intellectual_Disability_Data!GA81</f>
        <v>26591.972512854583</v>
      </c>
      <c r="O5" s="126">
        <f>Intellectual_Disability_Data!GB81</f>
        <v>36801.640889457223</v>
      </c>
      <c r="P5" s="27"/>
    </row>
    <row r="6" spans="1:16" s="83" customFormat="1" ht="14.5" x14ac:dyDescent="0.35">
      <c r="A6" s="27"/>
      <c r="B6" s="135"/>
      <c r="C6" s="129" t="s">
        <v>261</v>
      </c>
      <c r="D6" s="126">
        <f>Intellectual_Disability_Data!Q103</f>
        <v>17638.635027624307</v>
      </c>
      <c r="E6" s="126">
        <f>Intellectual_Disability_Data!CH103</f>
        <v>961.569490521327</v>
      </c>
      <c r="F6" s="126">
        <f>Intellectual_Disability_Data!CQ103</f>
        <v>54.874264524103836</v>
      </c>
      <c r="G6" s="126">
        <f>Intellectual_Disability_Data!FZ103</f>
        <v>18655.078782669738</v>
      </c>
      <c r="H6" s="126">
        <f>Intellectual_Disability_Data!DI103</f>
        <v>1535.8341455675215</v>
      </c>
      <c r="I6" s="126">
        <f>Intellectual_Disability_Data!DU103</f>
        <v>3781.6277730192719</v>
      </c>
      <c r="J6" s="126">
        <f>Intellectual_Disability_Data!EM103</f>
        <v>13029.473627556512</v>
      </c>
      <c r="K6" s="126">
        <f>Intellectual_Disability_Data!EY81</f>
        <v>12390.124831442419</v>
      </c>
      <c r="L6" s="126">
        <f>Intellectual_Disability_Data!FK103</f>
        <v>14370.024777140543</v>
      </c>
      <c r="M6" s="126">
        <f>Intellectual_Disability_Data!FW103</f>
        <v>22995.026417752732</v>
      </c>
      <c r="N6" s="126">
        <f>Intellectual_Disability_Data!GA103</f>
        <v>68102.111572479</v>
      </c>
      <c r="O6" s="126">
        <f>Intellectual_Disability_Data!GB103</f>
        <v>86757.190355148734</v>
      </c>
      <c r="P6" s="27"/>
    </row>
    <row r="7" spans="1:16" s="83" customFormat="1" x14ac:dyDescent="0.35">
      <c r="A7" s="27"/>
      <c r="B7" s="135" t="s">
        <v>133</v>
      </c>
      <c r="C7" s="115" t="s">
        <v>259</v>
      </c>
      <c r="D7" s="123">
        <f>AVERAGE(Intellectual_Disability_Data!Q82,Intellectual_Disability_Data!Q93,Intellectual_Disability_Data!Q104)</f>
        <v>13430.50580110497</v>
      </c>
      <c r="E7" s="123">
        <f>AVERAGE(Intellectual_Disability_Data!CH82,Intellectual_Disability_Data!CH93,Intellectual_Disability_Data!CH104)</f>
        <v>961.56949052132711</v>
      </c>
      <c r="F7" s="123">
        <f>AVERAGE(Intellectual_Disability_Data!CQ82,Intellectual_Disability_Data!CQ93,Intellectual_Disability_Data!CQ104)</f>
        <v>40.298288009888758</v>
      </c>
      <c r="G7" s="123">
        <f>AVERAGE(Intellectual_Disability_Data!FZ82,Intellectual_Disability_Data!FZ93,Intellectual_Disability_Data!FZ104)</f>
        <v>14432.373579636187</v>
      </c>
      <c r="H7" s="123">
        <f>AVERAGE(Intellectual_Disability_Data!DI82,Intellectual_Disability_Data!DI93,Intellectual_Disability_Data!DI104)</f>
        <v>984.06511669017982</v>
      </c>
      <c r="I7" s="123">
        <f>AVERAGE(Intellectual_Disability_Data!DU82,Intellectual_Disability_Data!DU93,Intellectual_Disability_Data!DU104)</f>
        <v>2521.0851820128478</v>
      </c>
      <c r="J7" s="123">
        <f>AVERAGE(Intellectual_Disability_Data!EM82,Intellectual_Disability_Data!EM93,Intellectual_Disability_Data!EM104)</f>
        <v>6163.1976817215245</v>
      </c>
      <c r="K7" s="123">
        <f>AVERAGE(Intellectual_Disability_Data!EY82,Intellectual_Disability_Data!EY93,Intellectual_Disability_Data!EY104)</f>
        <v>11626.327909562557</v>
      </c>
      <c r="L7" s="123">
        <f>AVERAGE(Intellectual_Disability_Data!FK82,Intellectual_Disability_Data!FK93,Intellectual_Disability_Data!FK104)</f>
        <v>23315.602666587776</v>
      </c>
      <c r="M7" s="123">
        <f>AVERAGE(Intellectual_Disability_Data!FW82,Intellectual_Disability_Data!FW93,Intellectual_Disability_Data!FW104)</f>
        <v>10321.152058683754</v>
      </c>
      <c r="N7" s="123">
        <f>AVERAGE(Intellectual_Disability_Data!GA82,Intellectual_Disability_Data!GA93,Intellectual_Disability_Data!GA104)</f>
        <v>54931.430615258636</v>
      </c>
      <c r="O7" s="123">
        <f>AVERAGE(Intellectual_Disability_Data!GB82,Intellectual_Disability_Data!GB93,Intellectual_Disability_Data!GB104)</f>
        <v>69363.804194894823</v>
      </c>
      <c r="P7" s="27"/>
    </row>
    <row r="8" spans="1:16" s="83" customFormat="1" ht="14.5" x14ac:dyDescent="0.35">
      <c r="A8" s="27"/>
      <c r="B8" s="135"/>
      <c r="C8" s="129" t="s">
        <v>260</v>
      </c>
      <c r="D8" s="126">
        <f>Intellectual_Disability_Data!Q82</f>
        <v>9222.3765745856363</v>
      </c>
      <c r="E8" s="126">
        <f>Intellectual_Disability_Data!CH82</f>
        <v>961.569490521327</v>
      </c>
      <c r="F8" s="126">
        <f>Intellectual_Disability_Data!CQ82</f>
        <v>25.722311495673676</v>
      </c>
      <c r="G8" s="126">
        <f>Intellectual_Disability_Data!FZ82</f>
        <v>10209.668376602638</v>
      </c>
      <c r="H8" s="126">
        <f>Intellectual_Disability_Data!DI82</f>
        <v>374.15281266856766</v>
      </c>
      <c r="I8" s="126">
        <f>Intellectual_Disability_Data!DU82</f>
        <v>0</v>
      </c>
      <c r="J8" s="126">
        <f>Intellectual_Disability_Data!EM82</f>
        <v>0</v>
      </c>
      <c r="K8" s="126">
        <f>Intellectual_Disability_Data!EY82</f>
        <v>10660.568400069871</v>
      </c>
      <c r="L8" s="126">
        <f>Intellectual_Disability_Data!FK82</f>
        <v>23315.602666587776</v>
      </c>
      <c r="M8" s="126">
        <f>Intellectual_Disability_Data!FW82</f>
        <v>0</v>
      </c>
      <c r="N8" s="126">
        <f>Intellectual_Disability_Data!GA82</f>
        <v>34350.323879326214</v>
      </c>
      <c r="O8" s="126">
        <f>Intellectual_Disability_Data!GB82</f>
        <v>44559.992255928853</v>
      </c>
      <c r="P8" s="27"/>
    </row>
    <row r="9" spans="1:16" s="83" customFormat="1" ht="14.5" x14ac:dyDescent="0.35">
      <c r="A9" s="27"/>
      <c r="B9" s="135"/>
      <c r="C9" s="129" t="s">
        <v>261</v>
      </c>
      <c r="D9" s="126">
        <f>Intellectual_Disability_Data!Q104</f>
        <v>17638.635027624307</v>
      </c>
      <c r="E9" s="126">
        <f>Intellectual_Disability_Data!CH104</f>
        <v>961.569490521327</v>
      </c>
      <c r="F9" s="126">
        <f>Intellectual_Disability_Data!CQ104</f>
        <v>54.874264524103836</v>
      </c>
      <c r="G9" s="126">
        <f>Intellectual_Disability_Data!FZ104</f>
        <v>18655.078782669738</v>
      </c>
      <c r="H9" s="126">
        <f>Intellectual_Disability_Data!DI104</f>
        <v>1535.8341455675215</v>
      </c>
      <c r="I9" s="126">
        <f>Intellectual_Disability_Data!DU104</f>
        <v>3781.6277730192719</v>
      </c>
      <c r="J9" s="126">
        <f>Intellectual_Disability_Data!EM104</f>
        <v>13029.473627556512</v>
      </c>
      <c r="K9" s="126">
        <f>Intellectual_Disability_Data!EY104</f>
        <v>12390.124831442419</v>
      </c>
      <c r="L9" s="126">
        <f>Intellectual_Disability_Data!FK104</f>
        <v>23315.602666587776</v>
      </c>
      <c r="M9" s="126">
        <f>Intellectual_Disability_Data!FW103</f>
        <v>22995.026417752732</v>
      </c>
      <c r="N9" s="126">
        <f>Intellectual_Disability_Data!GA104</f>
        <v>77047.689461926231</v>
      </c>
      <c r="O9" s="126">
        <f>Intellectual_Disability_Data!GB104</f>
        <v>95702.768244595965</v>
      </c>
      <c r="P9" s="27"/>
    </row>
    <row r="10" spans="1:16" s="83" customFormat="1" x14ac:dyDescent="0.35">
      <c r="A10" s="27"/>
      <c r="B10" s="135" t="s">
        <v>262</v>
      </c>
      <c r="C10" s="115" t="s">
        <v>259</v>
      </c>
      <c r="D10" s="123">
        <f>AVERAGE(Intellectual_Disability_Data!Q83,Intellectual_Disability_Data!Q94,Intellectual_Disability_Data!Q105)</f>
        <v>13430.50580110497</v>
      </c>
      <c r="E10" s="123">
        <f>AVERAGE(Intellectual_Disability_Data!CH83,Intellectual_Disability_Data!CH94,Intellectual_Disability_Data!CH105)</f>
        <v>961.56949052132711</v>
      </c>
      <c r="F10" s="123">
        <f>AVERAGE(Intellectual_Disability_Data!CQ83,Intellectual_Disability_Data!CQ94,Intellectual_Disability_Data!CQ105)</f>
        <v>186.88880829015545</v>
      </c>
      <c r="G10" s="123">
        <f>AVERAGE(Intellectual_Disability_Data!FZ83,Intellectual_Disability_Data!FZ94,Intellectual_Disability_Data!FZ105)</f>
        <v>14578.964099916455</v>
      </c>
      <c r="H10" s="123">
        <f>AVERAGE(Intellectual_Disability_Data!DI83,Intellectual_Disability_Data!DI94,Intellectual_Disability_Data!DI105)</f>
        <v>984.06511669017982</v>
      </c>
      <c r="I10" s="123">
        <f>AVERAGE(Intellectual_Disability_Data!DU83,Intellectual_Disability_Data!DU94,Intellectual_Disability_Data!DU105)</f>
        <v>2521.0851820128478</v>
      </c>
      <c r="J10" s="123">
        <f>AVERAGE(Intellectual_Disability_Data!EM83,Intellectual_Disability_Data!EM94,Intellectual_Disability_Data!EM105)</f>
        <v>6163.1976817215245</v>
      </c>
      <c r="K10" s="123">
        <f>AVERAGE(Intellectual_Disability_Data!EY83,Intellectual_Disability_Data!EY94,Intellectual_Disability_Data!EY105)</f>
        <v>12615.106800872165</v>
      </c>
      <c r="L10" s="123">
        <f>AVERAGE(Intellectual_Disability_Data!FK83,Intellectual_Disability_Data!FK94,Intellectual_Disability_Data!FK105)</f>
        <v>16761.544877643057</v>
      </c>
      <c r="M10" s="123">
        <f>AVERAGE(Intellectual_Disability_Data!FW83,Intellectual_Disability_Data!FW94,Intellectual_Disability_Data!FW105)</f>
        <v>10321.152058683754</v>
      </c>
      <c r="N10" s="123">
        <f>AVERAGE(Intellectual_Disability_Data!GA83,Intellectual_Disability_Data!GA94,Intellectual_Disability_Data!GA105)</f>
        <v>49366.151717623528</v>
      </c>
      <c r="O10" s="123">
        <f>AVERAGE(Intellectual_Disability_Data!GB83,Intellectual_Disability_Data!GB94,Intellectual_Disability_Data!GB105)</f>
        <v>63945.115817539983</v>
      </c>
      <c r="P10" s="27"/>
    </row>
    <row r="11" spans="1:16" s="83" customFormat="1" ht="14.5" x14ac:dyDescent="0.35">
      <c r="A11" s="27"/>
      <c r="B11" s="135"/>
      <c r="C11" s="129" t="s">
        <v>260</v>
      </c>
      <c r="D11" s="126">
        <f>Intellectual_Disability_Data!Q83</f>
        <v>9222.3765745856363</v>
      </c>
      <c r="E11" s="126">
        <f>Intellectual_Disability_Data!CH83</f>
        <v>961.569490521327</v>
      </c>
      <c r="F11" s="126">
        <f>Intellectual_Disability_Data!CQ83</f>
        <v>93.444404145077726</v>
      </c>
      <c r="G11" s="126">
        <f>Intellectual_Disability_Data!FZ83</f>
        <v>10277.390469252041</v>
      </c>
      <c r="H11" s="126">
        <f>Intellectual_Disability_Data!DI83</f>
        <v>374.15281266856766</v>
      </c>
      <c r="I11" s="126">
        <f>Intellectual_Disability_Data!DU83</f>
        <v>0</v>
      </c>
      <c r="J11" s="126">
        <f>Intellectual_Disability_Data!EM83</f>
        <v>0</v>
      </c>
      <c r="K11" s="126">
        <f>Intellectual_Disability_Data!EY83</f>
        <v>12390.124831442419</v>
      </c>
      <c r="L11" s="126">
        <f>Intellectual_Disability_Data!FK83</f>
        <v>16761.544877643057</v>
      </c>
      <c r="M11" s="126">
        <f>Intellectual_Disability_Data!FW83</f>
        <v>0</v>
      </c>
      <c r="N11" s="126">
        <f>Intellectual_Disability_Data!GA83</f>
        <v>29525.822521754046</v>
      </c>
      <c r="O11" s="126">
        <f>Intellectual_Disability_Data!GB83</f>
        <v>39803.21299100609</v>
      </c>
      <c r="P11" s="27"/>
    </row>
    <row r="12" spans="1:16" s="83" customFormat="1" ht="14.5" x14ac:dyDescent="0.35">
      <c r="A12" s="27"/>
      <c r="B12" s="135"/>
      <c r="C12" s="129" t="s">
        <v>261</v>
      </c>
      <c r="D12" s="126">
        <f>Intellectual_Disability_Data!Q105</f>
        <v>17638.635027624307</v>
      </c>
      <c r="E12" s="126">
        <f>Intellectual_Disability_Data!CH105</f>
        <v>961.569490521327</v>
      </c>
      <c r="F12" s="126">
        <f>Intellectual_Disability_Data!CQ105</f>
        <v>280.33321243523318</v>
      </c>
      <c r="G12" s="126">
        <f>Intellectual_Disability_Data!FZ105</f>
        <v>18880.537730580869</v>
      </c>
      <c r="H12" s="126">
        <f>Intellectual_Disability_Data!DI105</f>
        <v>1535.8341455675215</v>
      </c>
      <c r="I12" s="126">
        <f>Intellectual_Disability_Data!DU105</f>
        <v>3781.6277730192719</v>
      </c>
      <c r="J12" s="126">
        <f>Intellectual_Disability_Data!EM105</f>
        <v>13029.473627556512</v>
      </c>
      <c r="K12" s="126">
        <f>Intellectual_Disability_Data!EY105</f>
        <v>12885.320905516492</v>
      </c>
      <c r="L12" s="126">
        <f>Intellectual_Disability_Data!FK105</f>
        <v>16761.544877643057</v>
      </c>
      <c r="M12" s="126">
        <f>Intellectual_Disability_Data!FW105</f>
        <v>22995.026417752732</v>
      </c>
      <c r="N12" s="126">
        <f>Intellectual_Disability_Data!GA105</f>
        <v>70988.827747055591</v>
      </c>
      <c r="O12" s="126">
        <f>Intellectual_Disability_Data!GB105</f>
        <v>89869.365477636456</v>
      </c>
      <c r="P12" s="27"/>
    </row>
    <row r="13" spans="1:16" s="83" customFormat="1" x14ac:dyDescent="0.35">
      <c r="A13" s="27"/>
      <c r="B13" s="27"/>
      <c r="C13" s="27"/>
      <c r="D13" s="124"/>
      <c r="E13" s="124"/>
      <c r="F13" s="124"/>
      <c r="G13" s="124"/>
      <c r="H13" s="124"/>
      <c r="I13" s="124"/>
      <c r="J13" s="124"/>
      <c r="K13" s="124"/>
      <c r="L13" s="124"/>
      <c r="M13" s="124"/>
      <c r="N13" s="124"/>
      <c r="O13" s="124"/>
      <c r="P13" s="27"/>
    </row>
    <row r="14" spans="1:16" s="83" customFormat="1" x14ac:dyDescent="0.35">
      <c r="A14" s="27"/>
      <c r="B14" s="135" t="s">
        <v>135</v>
      </c>
      <c r="C14" s="115" t="s">
        <v>259</v>
      </c>
      <c r="D14" s="123">
        <f>AVERAGE(Intellectual_Disability_Data!Q84,Intellectual_Disability_Data!Q95,Intellectual_Disability_Data!Q106)</f>
        <v>9297.2933374350196</v>
      </c>
      <c r="E14" s="123">
        <f>AVERAGE(Intellectual_Disability_Data!CH84,Intellectual_Disability_Data!CH95,Intellectual_Disability_Data!CH106)</f>
        <v>5893.0401089016777</v>
      </c>
      <c r="F14" s="123">
        <f>AVERAGE(Intellectual_Disability_Data!CQ84,Intellectual_Disability_Data!CQ95,Intellectual_Disability_Data!CQ106)</f>
        <v>928.74623463745354</v>
      </c>
      <c r="G14" s="123">
        <f>AVERAGE(Intellectual_Disability_Data!FZ84,Intellectual_Disability_Data!FZ95,Intellectual_Disability_Data!FZ106)</f>
        <v>16119.079680974151</v>
      </c>
      <c r="H14" s="123">
        <f>AVERAGE(Intellectual_Disability_Data!DI84,Intellectual_Disability_Data!DI95,Intellectual_Disability_Data!DI106)</f>
        <v>3091.7308437354259</v>
      </c>
      <c r="I14" s="123">
        <f>AVERAGE(Intellectual_Disability_Data!DU84,Intellectual_Disability_Data!DU95,Intellectual_Disability_Data!DU106)</f>
        <v>41594.114271330618</v>
      </c>
      <c r="J14" s="123">
        <f>AVERAGE(Intellectual_Disability_Data!EM84,Intellectual_Disability_Data!EM95,Intellectual_Disability_Data!EM106)</f>
        <v>12405.337905271032</v>
      </c>
      <c r="K14" s="123">
        <f>AVERAGE(Intellectual_Disability_Data!EY84,Intellectual_Disability_Data!EY95,Intellectual_Disability_Data!EY106)</f>
        <v>12475.984221361237</v>
      </c>
      <c r="L14" s="123">
        <f>AVERAGE(Intellectual_Disability_Data!FK84,Intellectual_Disability_Data!FK95,Intellectual_Disability_Data!FK106)</f>
        <v>46763.768419842061</v>
      </c>
      <c r="M14" s="123">
        <f>AVERAGE(Intellectual_Disability_Data!FW84,Intellectual_Disability_Data!FW95,Intellectual_Disability_Data!FW106)</f>
        <v>12662.42564598534</v>
      </c>
      <c r="N14" s="123">
        <f>AVERAGE(Intellectual_Disability_Data!GA84,Intellectual_Disability_Data!GA95,Intellectual_Disability_Data!GA106)</f>
        <v>129006.56840854441</v>
      </c>
      <c r="O14" s="123">
        <f>AVERAGE(Intellectual_Disability_Data!GB84,Intellectual_Disability_Data!GB95,Intellectual_Disability_Data!GB106)</f>
        <v>145125.64808951857</v>
      </c>
      <c r="P14" s="27"/>
    </row>
    <row r="15" spans="1:16" s="83" customFormat="1" ht="14.5" x14ac:dyDescent="0.35">
      <c r="A15" s="27"/>
      <c r="B15" s="135"/>
      <c r="C15" s="129" t="s">
        <v>260</v>
      </c>
      <c r="D15" s="126">
        <f>Intellectual_Disability_Data!Q84</f>
        <v>3175.2475370825946</v>
      </c>
      <c r="E15" s="126">
        <f>Intellectual_Disability_Data!CH84</f>
        <v>431.34168699766906</v>
      </c>
      <c r="F15" s="126">
        <f>Intellectual_Disability_Data!CQ84</f>
        <v>55.29504953451783</v>
      </c>
      <c r="G15" s="126">
        <f>Intellectual_Disability_Data!FZ84</f>
        <v>3661.8842736147817</v>
      </c>
      <c r="H15" s="126">
        <f>Intellectual_Disability_Data!DI84</f>
        <v>1417.5575101738812</v>
      </c>
      <c r="I15" s="126">
        <f>Intellectual_Disability_Data!DU84</f>
        <v>17272.884698082955</v>
      </c>
      <c r="J15" s="126">
        <f>Intellectual_Disability_Data!EM84</f>
        <v>11781.202182985553</v>
      </c>
      <c r="K15" s="126">
        <f>Intellectual_Disability_Data!EY84</f>
        <v>11847.794923045472</v>
      </c>
      <c r="L15" s="126">
        <f>Intellectual_Disability_Data!FK84</f>
        <v>15786.920777140544</v>
      </c>
      <c r="M15" s="126">
        <f>Intellectual_Disability_Data!FW84</f>
        <v>3506.4769999999999</v>
      </c>
      <c r="N15" s="126">
        <f>Intellectual_Disability_Data!GA84</f>
        <v>61612.83709142841</v>
      </c>
      <c r="O15" s="126">
        <f>Intellectual_Disability_Data!GB84</f>
        <v>65274.721365043195</v>
      </c>
      <c r="P15" s="27"/>
    </row>
    <row r="16" spans="1:16" s="83" customFormat="1" ht="14.5" x14ac:dyDescent="0.35">
      <c r="A16" s="27"/>
      <c r="B16" s="135"/>
      <c r="C16" s="129" t="s">
        <v>261</v>
      </c>
      <c r="D16" s="126">
        <f>Intellectual_Disability_Data!Q106</f>
        <v>17638.635027624307</v>
      </c>
      <c r="E16" s="126">
        <f>Intellectual_Disability_Data!CH106</f>
        <v>11354.738530805686</v>
      </c>
      <c r="F16" s="126">
        <f>Intellectual_Disability_Data!CQ106</f>
        <v>1802.197419740389</v>
      </c>
      <c r="G16" s="126">
        <f>Intellectual_Disability_Data!FZ106</f>
        <v>30795.570978170381</v>
      </c>
      <c r="H16" s="126">
        <f>Intellectual_Disability_Data!DI106</f>
        <v>3948.6281620442373</v>
      </c>
      <c r="I16" s="126">
        <f>Intellectual_Disability_Data!DU106</f>
        <v>71995.651237890197</v>
      </c>
      <c r="J16" s="126">
        <f>Intellectual_Disability_Data!EM106</f>
        <v>13029.473627556512</v>
      </c>
      <c r="K16" s="126">
        <f>Intellectual_Disability_Data!EY106</f>
        <v>12988.121117156705</v>
      </c>
      <c r="L16" s="126">
        <f>Intellectual_Disability_Data!FK106</f>
        <v>77740.616062543588</v>
      </c>
      <c r="M16" s="126">
        <f>Intellectual_Disability_Data!FW106</f>
        <v>22995.026417752732</v>
      </c>
      <c r="N16" s="126">
        <f>Intellectual_Disability_Data!GA106</f>
        <v>202697.51662494396</v>
      </c>
      <c r="O16" s="126">
        <f>Intellectual_Disability_Data!GB106</f>
        <v>233493.08760311434</v>
      </c>
      <c r="P16" s="27"/>
    </row>
    <row r="17" spans="1:16" s="83" customFormat="1" x14ac:dyDescent="0.35">
      <c r="A17" s="27"/>
      <c r="B17" s="135" t="s">
        <v>136</v>
      </c>
      <c r="C17" s="115" t="s">
        <v>259</v>
      </c>
      <c r="D17" s="123">
        <f>AVERAGE(Intellectual_Disability_Data!Q85,Intellectual_Disability_Data!Q96,Intellectual_Disability_Data!Q107)</f>
        <v>9297.2933374350196</v>
      </c>
      <c r="E17" s="123">
        <f>AVERAGE(Intellectual_Disability_Data!CH85,Intellectual_Disability_Data!CH96,Intellectual_Disability_Data!CH107)</f>
        <v>5893.0401089016777</v>
      </c>
      <c r="F17" s="123">
        <f>AVERAGE(Intellectual_Disability_Data!CQ85,Intellectual_Disability_Data!CQ96,Intellectual_Disability_Data!CQ107)</f>
        <v>928.74623463745354</v>
      </c>
      <c r="G17" s="123">
        <f>AVERAGE(Intellectual_Disability_Data!FZ85,Intellectual_Disability_Data!FZ96,Intellectual_Disability_Data!FZ107)</f>
        <v>16119.079680974151</v>
      </c>
      <c r="H17" s="123">
        <f>AVERAGE(Intellectual_Disability_Data!DI85,Intellectual_Disability_Data!DI96,Intellectual_Disability_Data!DI107)</f>
        <v>3091.7308437354259</v>
      </c>
      <c r="I17" s="123">
        <f>AVERAGE(Intellectual_Disability_Data!DU85,Intellectual_Disability_Data!DU96,Intellectual_Disability_Data!DU107)</f>
        <v>41594.114271330618</v>
      </c>
      <c r="J17" s="123">
        <f>AVERAGE(Intellectual_Disability_Data!EM85,Intellectual_Disability_Data!EM96,Intellectual_Disability_Data!EM107)</f>
        <v>12405.337905271032</v>
      </c>
      <c r="K17" s="123">
        <f>AVERAGE(Intellectual_Disability_Data!EY85,Intellectual_Disability_Data!EY96,Intellectual_Disability_Data!EY107)</f>
        <v>11948.327988927636</v>
      </c>
      <c r="L17" s="123">
        <f>AVERAGE(Intellectual_Disability_Data!FK85,Intellectual_Disability_Data!FK96,Intellectual_Disability_Data!FK107)</f>
        <v>61653.638030422189</v>
      </c>
      <c r="M17" s="123">
        <f>AVERAGE(Intellectual_Disability_Data!FW85,Intellectual_Disability_Data!FW96,Intellectual_Disability_Data!FW107)</f>
        <v>12662.42564598534</v>
      </c>
      <c r="N17" s="123">
        <f>AVERAGE(Intellectual_Disability_Data!GA85,Intellectual_Disability_Data!GA96,Intellectual_Disability_Data!GA107)</f>
        <v>143368.78178669093</v>
      </c>
      <c r="O17" s="123">
        <f>AVERAGE(Intellectual_Disability_Data!GB85,Intellectual_Disability_Data!GB96,Intellectual_Disability_Data!GB107)</f>
        <v>159487.86146766509</v>
      </c>
      <c r="P17" s="27"/>
    </row>
    <row r="18" spans="1:16" s="83" customFormat="1" ht="14.5" x14ac:dyDescent="0.35">
      <c r="A18" s="27"/>
      <c r="B18" s="135"/>
      <c r="C18" s="129" t="s">
        <v>260</v>
      </c>
      <c r="D18" s="126">
        <f>Intellectual_Disability_Data!Q85</f>
        <v>3175.2475370825946</v>
      </c>
      <c r="E18" s="126">
        <f>Intellectual_Disability_Data!CH85</f>
        <v>431.34168699766906</v>
      </c>
      <c r="F18" s="126">
        <f>Intellectual_Disability_Data!CQ85</f>
        <v>55.29504953451783</v>
      </c>
      <c r="G18" s="126">
        <f>Intellectual_Disability_Data!FZ85</f>
        <v>3661.8842736147817</v>
      </c>
      <c r="H18" s="126">
        <f>Intellectual_Disability_Data!DI85</f>
        <v>1417.5575101738812</v>
      </c>
      <c r="I18" s="126">
        <f>Intellectual_Disability_Data!DU85</f>
        <v>17272.884698082955</v>
      </c>
      <c r="J18" s="126">
        <f>Intellectual_Disability_Data!EM85</f>
        <v>11781.202182985553</v>
      </c>
      <c r="K18" s="126">
        <f>Intellectual_Disability_Data!EY85</f>
        <v>10660.568400069871</v>
      </c>
      <c r="L18" s="126">
        <f>Intellectual_Disability_Data!FK85</f>
        <v>24732.498666587777</v>
      </c>
      <c r="M18" s="126">
        <f>Intellectual_Disability_Data!FW85</f>
        <v>3506.4769999999999</v>
      </c>
      <c r="N18" s="126">
        <f>Intellectual_Disability_Data!GA85</f>
        <v>69371.188457900033</v>
      </c>
      <c r="O18" s="126">
        <f>Intellectual_Disability_Data!GB85</f>
        <v>73033.072731514811</v>
      </c>
      <c r="P18" s="27"/>
    </row>
    <row r="19" spans="1:16" s="83" customFormat="1" ht="14.5" x14ac:dyDescent="0.35">
      <c r="A19" s="27"/>
      <c r="B19" s="135"/>
      <c r="C19" s="129" t="s">
        <v>261</v>
      </c>
      <c r="D19" s="126">
        <f>Intellectual_Disability_Data!Q107</f>
        <v>17638.635027624307</v>
      </c>
      <c r="E19" s="126">
        <f>Intellectual_Disability_Data!CH107</f>
        <v>11354.738530805686</v>
      </c>
      <c r="F19" s="126">
        <f>Intellectual_Disability_Data!CQ107</f>
        <v>1802.197419740389</v>
      </c>
      <c r="G19" s="126">
        <f>Intellectual_Disability_Data!FZ107</f>
        <v>30795.570978170381</v>
      </c>
      <c r="H19" s="126">
        <f>Intellectual_Disability_Data!DI107</f>
        <v>3948.6281620442373</v>
      </c>
      <c r="I19" s="126">
        <f>Intellectual_Disability_Data!DU107</f>
        <v>71995.651237890197</v>
      </c>
      <c r="J19" s="126">
        <f>Intellectual_Disability_Data!EM107</f>
        <v>13029.473627556512</v>
      </c>
      <c r="K19" s="126">
        <f>Intellectual_Disability_Data!EY107</f>
        <v>12988.121117156705</v>
      </c>
      <c r="L19" s="126">
        <f>Intellectual_Disability_Data!FK107</f>
        <v>98574.777394256598</v>
      </c>
      <c r="M19" s="126">
        <f>Intellectual_Disability_Data!FW107</f>
        <v>22995.026417752732</v>
      </c>
      <c r="N19" s="126">
        <f>Intellectual_Disability_Data!GA107</f>
        <v>223531.67795665702</v>
      </c>
      <c r="O19" s="126">
        <f>Intellectual_Disability_Data!GB107</f>
        <v>254327.2489348274</v>
      </c>
      <c r="P19" s="27"/>
    </row>
    <row r="20" spans="1:16" s="83" customFormat="1" x14ac:dyDescent="0.35">
      <c r="A20" s="27"/>
      <c r="B20" s="135" t="s">
        <v>263</v>
      </c>
      <c r="C20" s="115" t="s">
        <v>259</v>
      </c>
      <c r="D20" s="123">
        <f>AVERAGE(Intellectual_Disability_Data!Q86,Intellectual_Disability_Data!Q97,Intellectual_Disability_Data!Q108)</f>
        <v>9297.2933374350196</v>
      </c>
      <c r="E20" s="123">
        <f>AVERAGE(Intellectual_Disability_Data!CH86,Intellectual_Disability_Data!CH97,Intellectual_Disability_Data!CH108)</f>
        <v>5893.0401089016777</v>
      </c>
      <c r="F20" s="123">
        <f>AVERAGE(Intellectual_Disability_Data!CQ86,Intellectual_Disability_Data!CQ97,Intellectual_Disability_Data!CQ108)</f>
        <v>1075.3367549177201</v>
      </c>
      <c r="G20" s="123">
        <f>AVERAGE(Intellectual_Disability_Data!FZ86,Intellectual_Disability_Data!FZ97,Intellectual_Disability_Data!FZ108)</f>
        <v>16265.670201254419</v>
      </c>
      <c r="H20" s="123">
        <f>AVERAGE(Intellectual_Disability_Data!DI86,Intellectual_Disability_Data!DI97,Intellectual_Disability_Data!DI108)</f>
        <v>3091.7308437354259</v>
      </c>
      <c r="I20" s="123">
        <f>AVERAGE(Intellectual_Disability_Data!DU86,Intellectual_Disability_Data!DU97,Intellectual_Disability_Data!DU108)</f>
        <v>41594.114271330618</v>
      </c>
      <c r="J20" s="123">
        <f>AVERAGE(Intellectual_Disability_Data!EM86,Intellectual_Disability_Data!EM97,Intellectual_Disability_Data!EM108)</f>
        <v>12405.337905271032</v>
      </c>
      <c r="K20" s="123">
        <f>AVERAGE(Intellectual_Disability_Data!EY86,Intellectual_Disability_Data!EY97,Intellectual_Disability_Data!EY108)</f>
        <v>12772.041522212554</v>
      </c>
      <c r="L20" s="123">
        <f>AVERAGE(Intellectual_Disability_Data!FK86,Intellectual_Disability_Data!FK97,Intellectual_Disability_Data!FK108)</f>
        <v>69746.697452806446</v>
      </c>
      <c r="M20" s="123">
        <f>AVERAGE(Intellectual_Disability_Data!FW86,Intellectual_Disability_Data!FW97,Intellectual_Disability_Data!FW108)</f>
        <v>12662.42564598534</v>
      </c>
      <c r="N20" s="123">
        <f>AVERAGE(Intellectual_Disability_Data!GA86,Intellectual_Disability_Data!GA97,Intellectual_Disability_Data!GA108)</f>
        <v>152285.55474236011</v>
      </c>
      <c r="O20" s="123">
        <f>AVERAGE(Intellectual_Disability_Data!GB86,Intellectual_Disability_Data!GB97,Intellectual_Disability_Data!GB108)</f>
        <v>168551.22494361454</v>
      </c>
      <c r="P20" s="27"/>
    </row>
    <row r="21" spans="1:16" s="83" customFormat="1" ht="14.5" x14ac:dyDescent="0.35">
      <c r="A21" s="27"/>
      <c r="B21" s="135"/>
      <c r="C21" s="129" t="s">
        <v>260</v>
      </c>
      <c r="D21" s="126">
        <f>Intellectual_Disability_Data!Q86</f>
        <v>3175.2475370825946</v>
      </c>
      <c r="E21" s="126">
        <f>Intellectual_Disability_Data!CH86</f>
        <v>431.34168699766906</v>
      </c>
      <c r="F21" s="126">
        <f>Intellectual_Disability_Data!CQ86</f>
        <v>123.01714218392188</v>
      </c>
      <c r="G21" s="126">
        <f>Intellectual_Disability_Data!FZ86</f>
        <v>3729.6063662641859</v>
      </c>
      <c r="H21" s="126">
        <f>Intellectual_Disability_Data!DI86</f>
        <v>1417.5575101738812</v>
      </c>
      <c r="I21" s="126">
        <f>Intellectual_Disability_Data!DU86</f>
        <v>17272.884698082955</v>
      </c>
      <c r="J21" s="126">
        <f>Intellectual_Disability_Data!EM86</f>
        <v>11781.202182985553</v>
      </c>
      <c r="K21" s="126">
        <f>Intellectual_Disability_Data!EY86</f>
        <v>12390.124831442419</v>
      </c>
      <c r="L21" s="126">
        <f>Intellectual_Disability_Data!FK86</f>
        <v>18178.440877643057</v>
      </c>
      <c r="M21" s="126">
        <f>Intellectual_Disability_Data!FW86</f>
        <v>3506.4769999999999</v>
      </c>
      <c r="N21" s="126">
        <f>Intellectual_Disability_Data!GA86</f>
        <v>64546.687100327865</v>
      </c>
      <c r="O21" s="126">
        <f>Intellectual_Disability_Data!GB86</f>
        <v>68276.293466592047</v>
      </c>
      <c r="P21" s="27"/>
    </row>
    <row r="22" spans="1:16" s="83" customFormat="1" ht="14.5" x14ac:dyDescent="0.35">
      <c r="A22" s="27"/>
      <c r="B22" s="135"/>
      <c r="C22" s="129" t="s">
        <v>261</v>
      </c>
      <c r="D22" s="126">
        <f>Intellectual_Disability_Data!Q108</f>
        <v>17638.635027624307</v>
      </c>
      <c r="E22" s="126">
        <f>Intellectual_Disability_Data!CH108</f>
        <v>11354.738530805686</v>
      </c>
      <c r="F22" s="126">
        <f>Intellectual_Disability_Data!CQ108</f>
        <v>2027.6563676515184</v>
      </c>
      <c r="G22" s="126">
        <f>Intellectual_Disability_Data!FZ108</f>
        <v>31021.029926081512</v>
      </c>
      <c r="H22" s="126">
        <f>Intellectual_Disability_Data!DI108</f>
        <v>3948.6281620442373</v>
      </c>
      <c r="I22" s="126">
        <f>Intellectual_Disability_Data!DU108</f>
        <v>71995.651237890197</v>
      </c>
      <c r="J22" s="126">
        <f>Intellectual_Disability_Data!EM108</f>
        <v>13029.473627556512</v>
      </c>
      <c r="K22" s="126">
        <f>Intellectual_Disability_Data!EY108</f>
        <v>12988.121117156705</v>
      </c>
      <c r="L22" s="126">
        <f>Intellectual_Disability_Data!FK108</f>
        <v>121314.95402796984</v>
      </c>
      <c r="M22" s="126">
        <f>Intellectual_Disability_Data!FW108</f>
        <v>22995.026417752732</v>
      </c>
      <c r="N22" s="126">
        <f>Intellectual_Disability_Data!GA108</f>
        <v>246271.8545903702</v>
      </c>
      <c r="O22" s="126">
        <f>Intellectual_Disability_Data!GB108</f>
        <v>277292.88451645174</v>
      </c>
      <c r="P22" s="27"/>
    </row>
    <row r="23" spans="1:16" s="83" customFormat="1" x14ac:dyDescent="0.35">
      <c r="A23" s="27"/>
      <c r="B23" s="27"/>
      <c r="C23" s="27"/>
      <c r="D23" s="124"/>
      <c r="E23" s="124"/>
      <c r="F23" s="124"/>
      <c r="G23" s="124"/>
      <c r="H23" s="124"/>
      <c r="I23" s="124"/>
      <c r="J23" s="124"/>
      <c r="K23" s="124"/>
      <c r="L23" s="124"/>
      <c r="M23" s="124"/>
      <c r="N23" s="124"/>
      <c r="O23" s="124"/>
      <c r="P23" s="27"/>
    </row>
    <row r="24" spans="1:16" s="83" customFormat="1" x14ac:dyDescent="0.35">
      <c r="A24" s="27"/>
      <c r="B24" s="135" t="s">
        <v>138</v>
      </c>
      <c r="C24" s="115" t="s">
        <v>259</v>
      </c>
      <c r="D24" s="123">
        <f>AVERAGE(Intellectual_Disability_Data!Q87,Intellectual_Disability_Data!Q98,Intellectual_Disability_Data!Q109)</f>
        <v>7296.2420224764355</v>
      </c>
      <c r="E24" s="123">
        <f>AVERAGE(Intellectual_Disability_Data!CH87,Intellectual_Disability_Data!CH98,Intellectual_Disability_Data!CH109)</f>
        <v>544.41254965997189</v>
      </c>
      <c r="F24" s="123">
        <f>AVERAGE(Intellectual_Disability_Data!CQ87,Intellectual_Disability_Data!CQ98,Intellectual_Disability_Data!CQ109)</f>
        <v>926.28767959907407</v>
      </c>
      <c r="G24" s="123">
        <f>AVERAGE(Intellectual_Disability_Data!FZ87,Intellectual_Disability_Data!FZ98,Intellectual_Disability_Data!FZ109)</f>
        <v>8766.9422517354815</v>
      </c>
      <c r="H24" s="123">
        <f>AVERAGE(Intellectual_Disability_Data!DI87,Intellectual_Disability_Data!DI98,Intellectual_Disability_Data!DI109)</f>
        <v>3493.8445872805914</v>
      </c>
      <c r="I24" s="123">
        <f>AVERAGE(Intellectual_Disability_Data!DU87,Intellectual_Disability_Data!DU98,Intellectual_Disability_Data!DU109)</f>
        <v>40758.577727743061</v>
      </c>
      <c r="J24" s="123">
        <f>AVERAGE(Intellectual_Disability_Data!EM87,Intellectual_Disability_Data!EM98,Intellectual_Disability_Data!EM109)</f>
        <v>6889.8946609025543</v>
      </c>
      <c r="K24" s="123">
        <f>AVERAGE(Intellectual_Disability_Data!EY87,Intellectual_Disability_Data!EY98,Intellectual_Disability_Data!EY109)</f>
        <v>12395.356840408856</v>
      </c>
      <c r="L24" s="123">
        <f>AVERAGE(Intellectual_Disability_Data!FK87,Intellectual_Disability_Data!FK98,Intellectual_Disability_Data!FK109)</f>
        <v>46134.509919842065</v>
      </c>
      <c r="M24" s="123">
        <f>AVERAGE(Intellectual_Disability_Data!FW87,Intellectual_Disability_Data!FW98,Intellectual_Disability_Data!FW109)</f>
        <v>12653.411787399484</v>
      </c>
      <c r="N24" s="123">
        <f>AVERAGE(Intellectual_Disability_Data!GA87,Intellectual_Disability_Data!GA98,Intellectual_Disability_Data!GA109)</f>
        <v>122325.5955235766</v>
      </c>
      <c r="O24" s="123">
        <f>AVERAGE(Intellectual_Disability_Data!GB87,Intellectual_Disability_Data!GB98,Intellectual_Disability_Data!GB109)</f>
        <v>131092.53777531211</v>
      </c>
      <c r="P24" s="27"/>
    </row>
    <row r="25" spans="1:16" s="83" customFormat="1" ht="14.5" x14ac:dyDescent="0.35">
      <c r="A25" s="27"/>
      <c r="B25" s="135"/>
      <c r="C25" s="129" t="s">
        <v>260</v>
      </c>
      <c r="D25" s="126">
        <f>Intellectual_Disability_Data!Q87</f>
        <v>3771.0918794996564</v>
      </c>
      <c r="E25" s="126">
        <f>Intellectual_Disability_Data!CH87</f>
        <v>431.34168699766906</v>
      </c>
      <c r="F25" s="126">
        <f>Intellectual_Disability_Data!CQ87</f>
        <v>50.377939457758984</v>
      </c>
      <c r="G25" s="126">
        <f>Intellectual_Disability_Data!FZ87</f>
        <v>4252.8115059550846</v>
      </c>
      <c r="H25" s="126">
        <f>Intellectual_Disability_Data!DI87</f>
        <v>1736.2304327626548</v>
      </c>
      <c r="I25" s="126">
        <f>Intellectual_Disability_Data!DU87</f>
        <v>31994.125941872979</v>
      </c>
      <c r="J25" s="126">
        <f>Intellectual_Disability_Data!EM87</f>
        <v>705.52756959314775</v>
      </c>
      <c r="K25" s="126">
        <f>Intellectual_Disability_Data!EY87</f>
        <v>11847.794923045472</v>
      </c>
      <c r="L25" s="126">
        <f>Intellectual_Disability_Data!FK87</f>
        <v>14528.403777140544</v>
      </c>
      <c r="M25" s="126">
        <f>Intellectual_Disability_Data!FW87</f>
        <v>3443.0461440682225</v>
      </c>
      <c r="N25" s="126">
        <f>Intellectual_Disability_Data!GA87</f>
        <v>64255.128788483024</v>
      </c>
      <c r="O25" s="126">
        <f>Intellectual_Disability_Data!GB87</f>
        <v>68507.940294438115</v>
      </c>
      <c r="P25" s="27"/>
    </row>
    <row r="26" spans="1:16" s="83" customFormat="1" ht="14.5" x14ac:dyDescent="0.35">
      <c r="A26" s="27"/>
      <c r="B26" s="135"/>
      <c r="C26" s="129" t="s">
        <v>261</v>
      </c>
      <c r="D26" s="126">
        <f>Intellectual_Disability_Data!Q109</f>
        <v>12322.108066298342</v>
      </c>
      <c r="E26" s="126">
        <f>Intellectual_Disability_Data!CH109</f>
        <v>657.48341232227483</v>
      </c>
      <c r="F26" s="126">
        <f>Intellectual_Disability_Data!CQ109</f>
        <v>1802.197419740389</v>
      </c>
      <c r="G26" s="126">
        <f>Intellectual_Disability_Data!FZ109</f>
        <v>14781.788898361006</v>
      </c>
      <c r="H26" s="126">
        <f>Intellectual_Disability_Data!DI109</f>
        <v>4836.2964700909606</v>
      </c>
      <c r="I26" s="126">
        <f>Intellectual_Disability_Data!DU109</f>
        <v>47019.926232227488</v>
      </c>
      <c r="J26" s="126">
        <f>Intellectual_Disability_Data!EM109</f>
        <v>13029.473627556512</v>
      </c>
      <c r="K26" s="126">
        <f>Intellectual_Disability_Data!EY109</f>
        <v>12842.898260013848</v>
      </c>
      <c r="L26" s="126">
        <f>Intellectual_Disability_Data!FK109</f>
        <v>77740.616062543588</v>
      </c>
      <c r="M26" s="126">
        <f>Intellectual_Disability_Data!FW109</f>
        <v>23032.103778735014</v>
      </c>
      <c r="N26" s="126">
        <f>Intellectual_Disability_Data!GA109</f>
        <v>178501.31443116741</v>
      </c>
      <c r="O26" s="126">
        <f>Intellectual_Disability_Data!GB109</f>
        <v>193283.10332952841</v>
      </c>
      <c r="P26" s="27"/>
    </row>
    <row r="27" spans="1:16" s="83" customFormat="1" x14ac:dyDescent="0.35">
      <c r="A27" s="27"/>
      <c r="B27" s="135" t="s">
        <v>139</v>
      </c>
      <c r="C27" s="115" t="s">
        <v>259</v>
      </c>
      <c r="D27" s="123">
        <f>AVERAGE(Intellectual_Disability_Data!Q88,Intellectual_Disability_Data!Q99,Intellectual_Disability_Data!Q110)</f>
        <v>7296.2420224764355</v>
      </c>
      <c r="E27" s="123">
        <f>AVERAGE(Intellectual_Disability_Data!CH88,Intellectual_Disability_Data!CH99,Intellectual_Disability_Data!CH110)</f>
        <v>544.41254965997189</v>
      </c>
      <c r="F27" s="123">
        <f>AVERAGE(Intellectual_Disability_Data!CQ88,Intellectual_Disability_Data!CQ99,Intellectual_Disability_Data!CQ110)</f>
        <v>926.28767959907407</v>
      </c>
      <c r="G27" s="123">
        <f>AVERAGE(Intellectual_Disability_Data!FZ88,Intellectual_Disability_Data!FZ99,Intellectual_Disability_Data!FZ110)</f>
        <v>8766.9422517354815</v>
      </c>
      <c r="H27" s="123">
        <f>AVERAGE(Intellectual_Disability_Data!DI88,Intellectual_Disability_Data!DI99,Intellectual_Disability_Data!DI110)</f>
        <v>3493.8445872805914</v>
      </c>
      <c r="I27" s="123">
        <f>AVERAGE(Intellectual_Disability_Data!DU88,Intellectual_Disability_Data!DU99,Intellectual_Disability_Data!DU110)</f>
        <v>40758.577727743061</v>
      </c>
      <c r="J27" s="123">
        <f>AVERAGE(Intellectual_Disability_Data!EM88,Intellectual_Disability_Data!EM99,Intellectual_Disability_Data!EM110)</f>
        <v>6889.8946609025543</v>
      </c>
      <c r="K27" s="123">
        <f>AVERAGE(Intellectual_Disability_Data!EY88,Intellectual_Disability_Data!EY99,Intellectual_Disability_Data!EY110)</f>
        <v>11867.700607975255</v>
      </c>
      <c r="L27" s="123">
        <f>AVERAGE(Intellectual_Disability_Data!FK88,Intellectual_Disability_Data!FK99,Intellectual_Disability_Data!FK110)</f>
        <v>61024.379530422193</v>
      </c>
      <c r="M27" s="123">
        <f>AVERAGE(Intellectual_Disability_Data!FW88,Intellectual_Disability_Data!FW99,Intellectual_Disability_Data!FW110)</f>
        <v>12653.411787399484</v>
      </c>
      <c r="N27" s="123">
        <f>AVERAGE(Intellectual_Disability_Data!GA88,Intellectual_Disability_Data!GA99,Intellectual_Disability_Data!GA110)</f>
        <v>136687.80890172313</v>
      </c>
      <c r="O27" s="123">
        <f>AVERAGE(Intellectual_Disability_Data!GB88,Intellectual_Disability_Data!GB99,Intellectual_Disability_Data!GB110)</f>
        <v>145454.75115345864</v>
      </c>
      <c r="P27" s="27"/>
    </row>
    <row r="28" spans="1:16" s="83" customFormat="1" ht="14.5" x14ac:dyDescent="0.35">
      <c r="A28" s="27"/>
      <c r="B28" s="135"/>
      <c r="C28" s="129" t="s">
        <v>260</v>
      </c>
      <c r="D28" s="126">
        <f>Intellectual_Disability_Data!Q88</f>
        <v>3771.0918794996564</v>
      </c>
      <c r="E28" s="126">
        <f>Intellectual_Disability_Data!CH88</f>
        <v>431.34168699766906</v>
      </c>
      <c r="F28" s="126">
        <f>Intellectual_Disability_Data!CQ88</f>
        <v>50.377939457758984</v>
      </c>
      <c r="G28" s="126">
        <f>Intellectual_Disability_Data!FZ88</f>
        <v>4252.8115059550846</v>
      </c>
      <c r="H28" s="126">
        <f>Intellectual_Disability_Data!DI88</f>
        <v>1736.2304327626548</v>
      </c>
      <c r="I28" s="126">
        <f>Intellectual_Disability_Data!DU88</f>
        <v>31994.125941872979</v>
      </c>
      <c r="J28" s="126">
        <f>Intellectual_Disability_Data!EM88</f>
        <v>705.52756959314775</v>
      </c>
      <c r="K28" s="126">
        <f>Intellectual_Disability_Data!EY88</f>
        <v>10660.568400069871</v>
      </c>
      <c r="L28" s="126">
        <f>Intellectual_Disability_Data!FK88</f>
        <v>23473.981666587777</v>
      </c>
      <c r="M28" s="126">
        <f>Intellectual_Disability_Data!FW88</f>
        <v>3443.0461440682225</v>
      </c>
      <c r="N28" s="126">
        <f>Intellectual_Disability_Data!GA88</f>
        <v>72013.480154954668</v>
      </c>
      <c r="O28" s="126">
        <f>Intellectual_Disability_Data!GB88</f>
        <v>76266.291660909759</v>
      </c>
      <c r="P28" s="27"/>
    </row>
    <row r="29" spans="1:16" s="83" customFormat="1" ht="14.5" x14ac:dyDescent="0.35">
      <c r="A29" s="27"/>
      <c r="B29" s="135"/>
      <c r="C29" s="129" t="s">
        <v>261</v>
      </c>
      <c r="D29" s="126">
        <f>Intellectual_Disability_Data!Q110</f>
        <v>12322.108066298342</v>
      </c>
      <c r="E29" s="126">
        <f>Intellectual_Disability_Data!CH110</f>
        <v>657.48341232227483</v>
      </c>
      <c r="F29" s="126">
        <f>Intellectual_Disability_Data!CQ110</f>
        <v>1802.197419740389</v>
      </c>
      <c r="G29" s="126">
        <f>Intellectual_Disability_Data!FZ110</f>
        <v>14781.788898361006</v>
      </c>
      <c r="H29" s="126">
        <f>Intellectual_Disability_Data!DI110</f>
        <v>4836.2964700909606</v>
      </c>
      <c r="I29" s="126">
        <f>Intellectual_Disability_Data!DU110</f>
        <v>47019.926232227488</v>
      </c>
      <c r="J29" s="126">
        <f>Intellectual_Disability_Data!EM110</f>
        <v>13029.473627556512</v>
      </c>
      <c r="K29" s="126">
        <f>Intellectual_Disability_Data!EY110</f>
        <v>12842.898260013848</v>
      </c>
      <c r="L29" s="126">
        <f>Intellectual_Disability_Data!FK110</f>
        <v>98574.777394256598</v>
      </c>
      <c r="M29" s="126">
        <f>Intellectual_Disability_Data!FW110</f>
        <v>23032.103778735014</v>
      </c>
      <c r="N29" s="126">
        <f>Intellectual_Disability_Data!GA110</f>
        <v>199335.47576288044</v>
      </c>
      <c r="O29" s="126">
        <f>Intellectual_Disability_Data!GB110</f>
        <v>214117.26466124144</v>
      </c>
      <c r="P29" s="27"/>
    </row>
    <row r="30" spans="1:16" s="83" customFormat="1" x14ac:dyDescent="0.35">
      <c r="A30" s="27"/>
      <c r="B30" s="135" t="s">
        <v>264</v>
      </c>
      <c r="C30" s="115" t="s">
        <v>259</v>
      </c>
      <c r="D30" s="123">
        <f>AVERAGE(Intellectual_Disability_Data!Q89,Intellectual_Disability_Data!Q100,Intellectual_Disability_Data!Q111)</f>
        <v>7296.2420224764355</v>
      </c>
      <c r="E30" s="123">
        <f>AVERAGE(Intellectual_Disability_Data!CH89,Intellectual_Disability_Data!CH100,Intellectual_Disability_Data!CH111)</f>
        <v>17904.417678114478</v>
      </c>
      <c r="F30" s="123">
        <f>AVERAGE(Intellectual_Disability_Data!CQ89,Intellectual_Disability_Data!CQ100,Intellectual_Disability_Data!CQ111)</f>
        <v>1072.8781998793409</v>
      </c>
      <c r="G30" s="123">
        <f>AVERAGE(Intellectual_Disability_Data!FZ89,Intellectual_Disability_Data!FZ100,Intellectual_Disability_Data!FZ111)</f>
        <v>26273.537900470255</v>
      </c>
      <c r="H30" s="123">
        <f>AVERAGE(Intellectual_Disability_Data!DI89,Intellectual_Disability_Data!DI100,Intellectual_Disability_Data!DI111)</f>
        <v>3493.8445872805914</v>
      </c>
      <c r="I30" s="123">
        <f>AVERAGE(Intellectual_Disability_Data!DU89,Intellectual_Disability_Data!DU100,Intellectual_Disability_Data!DU111)</f>
        <v>40758.577727743061</v>
      </c>
      <c r="J30" s="123">
        <f>AVERAGE(Intellectual_Disability_Data!EM89,Intellectual_Disability_Data!EM100,Intellectual_Disability_Data!EM111)</f>
        <v>6889.8946609025543</v>
      </c>
      <c r="K30" s="123">
        <f>AVERAGE(Intellectual_Disability_Data!EY89,Intellectual_Disability_Data!EY100,Intellectual_Disability_Data!EY111)</f>
        <v>12691.414141260175</v>
      </c>
      <c r="L30" s="123">
        <f>AVERAGE(Intellectual_Disability_Data!FK89,Intellectual_Disability_Data!FK100,Intellectual_Disability_Data!FK111)</f>
        <v>69117.438952806449</v>
      </c>
      <c r="M30" s="123">
        <f>AVERAGE(Intellectual_Disability_Data!FW89,Intellectual_Disability_Data!FW100,Intellectual_Disability_Data!FW111)</f>
        <v>12653.411787399484</v>
      </c>
      <c r="N30" s="123">
        <f>AVERAGE(Intellectual_Disability_Data!GA89,Intellectual_Disability_Data!GA100,Intellectual_Disability_Data!GA111)</f>
        <v>145604.58185739233</v>
      </c>
      <c r="O30" s="123">
        <f>AVERAGE(Intellectual_Disability_Data!GB89,Intellectual_Disability_Data!GB100,Intellectual_Disability_Data!GB111)</f>
        <v>171878.11975786256</v>
      </c>
      <c r="P30" s="27"/>
    </row>
    <row r="31" spans="1:16" s="83" customFormat="1" ht="14.5" x14ac:dyDescent="0.35">
      <c r="A31" s="27"/>
      <c r="B31" s="135"/>
      <c r="C31" s="129" t="s">
        <v>260</v>
      </c>
      <c r="D31" s="126">
        <f>Intellectual_Disability_Data!Q89</f>
        <v>3771.0918794996564</v>
      </c>
      <c r="E31" s="126">
        <f>Intellectual_Disability_Data!CH89</f>
        <v>12820.846990557897</v>
      </c>
      <c r="F31" s="126">
        <f>Intellectual_Disability_Data!CQ89</f>
        <v>118.10003210716303</v>
      </c>
      <c r="G31" s="126">
        <f>Intellectual_Disability_Data!FZ89</f>
        <v>16710.038902164717</v>
      </c>
      <c r="H31" s="126">
        <f>Intellectual_Disability_Data!DI89</f>
        <v>1736.2304327626548</v>
      </c>
      <c r="I31" s="126">
        <f>Intellectual_Disability_Data!DU89</f>
        <v>31994.125941872979</v>
      </c>
      <c r="J31" s="126">
        <f>Intellectual_Disability_Data!EM89</f>
        <v>705.52756959314775</v>
      </c>
      <c r="K31" s="126">
        <f>Intellectual_Disability_Data!EY89</f>
        <v>12390.124831442419</v>
      </c>
      <c r="L31" s="126">
        <f>Intellectual_Disability_Data!FK89</f>
        <v>16919.923877643057</v>
      </c>
      <c r="M31" s="126">
        <f>Intellectual_Disability_Data!FW89</f>
        <v>3443.0461440682225</v>
      </c>
      <c r="N31" s="126">
        <f>Intellectual_Disability_Data!GA89</f>
        <v>67188.978797382486</v>
      </c>
      <c r="O31" s="126">
        <f>Intellectual_Disability_Data!GB89</f>
        <v>83899.017699547199</v>
      </c>
      <c r="P31" s="27"/>
    </row>
    <row r="32" spans="1:16" s="83" customFormat="1" ht="14.5" x14ac:dyDescent="0.35">
      <c r="A32" s="27"/>
      <c r="B32" s="135"/>
      <c r="C32" s="129" t="s">
        <v>261</v>
      </c>
      <c r="D32" s="126">
        <f>Intellectual_Disability_Data!Q111</f>
        <v>12322.108066298342</v>
      </c>
      <c r="E32" s="126">
        <f>Intellectual_Disability_Data!CH111</f>
        <v>22987.988365671059</v>
      </c>
      <c r="F32" s="126">
        <f>Intellectual_Disability_Data!CQ111</f>
        <v>2027.6563676515184</v>
      </c>
      <c r="G32" s="126">
        <f>Intellectual_Disability_Data!FZ111</f>
        <v>37337.752799620917</v>
      </c>
      <c r="H32" s="126">
        <f>Intellectual_Disability_Data!DI111</f>
        <v>4836.2964700909606</v>
      </c>
      <c r="I32" s="126">
        <f>Intellectual_Disability_Data!DU111</f>
        <v>47019.926232227488</v>
      </c>
      <c r="J32" s="126">
        <f>Intellectual_Disability_Data!EM111</f>
        <v>13029.473627556512</v>
      </c>
      <c r="K32" s="126">
        <f>Intellectual_Disability_Data!EY111</f>
        <v>12842.898260013848</v>
      </c>
      <c r="L32" s="126">
        <f>Intellectual_Disability_Data!FK111</f>
        <v>121314.95402796984</v>
      </c>
      <c r="M32" s="126">
        <f>Intellectual_Disability_Data!FW111</f>
        <v>23032.103778735014</v>
      </c>
      <c r="N32" s="126">
        <f>Intellectual_Disability_Data!GA111</f>
        <v>222075.65239659368</v>
      </c>
      <c r="O32" s="126">
        <f>Intellectual_Disability_Data!GB111</f>
        <v>259413.40519621459</v>
      </c>
      <c r="P32" s="27"/>
    </row>
    <row r="33" spans="1:16" s="83" customFormat="1" x14ac:dyDescent="0.35">
      <c r="A33" s="27"/>
      <c r="B33" s="27"/>
      <c r="C33" s="27"/>
      <c r="D33" s="124"/>
      <c r="E33" s="124"/>
      <c r="F33" s="124"/>
      <c r="G33" s="124"/>
      <c r="H33" s="124"/>
      <c r="I33" s="124"/>
      <c r="J33" s="124"/>
      <c r="K33" s="124"/>
      <c r="L33" s="124"/>
      <c r="M33" s="124"/>
      <c r="N33" s="124"/>
      <c r="O33" s="124"/>
      <c r="P33" s="27"/>
    </row>
    <row r="34" spans="1:16" s="83" customFormat="1" x14ac:dyDescent="0.35">
      <c r="A34" s="27"/>
      <c r="B34" s="135" t="s">
        <v>265</v>
      </c>
      <c r="C34" s="115" t="s">
        <v>259</v>
      </c>
      <c r="D34" s="123">
        <f>AVERAGE(Intellectual_Disability_Data!Q115,Intellectual_Disability_Data!Q120,Intellectual_Disability_Data!Q125)</f>
        <v>17401.32555217683</v>
      </c>
      <c r="E34" s="123">
        <f>AVERAGE(Intellectual_Disability_Data!CH115,Intellectual_Disability_Data!CH120,Intellectual_Disability_Data!CH125)</f>
        <v>1398.2866442436996</v>
      </c>
      <c r="F34" s="123">
        <f>AVERAGE(Intellectual_Disability_Data!CQ115,Intellectual_Disability_Data!CQ120,Intellectual_Disability_Data!CQ125)</f>
        <v>135.6333827966186</v>
      </c>
      <c r="G34" s="123">
        <f>AVERAGE(Intellectual_Disability_Data!FZ115,Intellectual_Disability_Data!FZ120,Intellectual_Disability_Data!FZ125)</f>
        <v>18935.245579217149</v>
      </c>
      <c r="H34" s="123">
        <f>AVERAGE(Intellectual_Disability_Data!DI115,Intellectual_Disability_Data!DI120,Intellectual_Disability_Data!DI125)</f>
        <v>73160.807870853852</v>
      </c>
      <c r="I34" s="123">
        <f>AVERAGE(Intellectual_Disability_Data!DU115,Intellectual_Disability_Data!DU120,Intellectual_Disability_Data!DU125)</f>
        <v>2689.0997298367743</v>
      </c>
      <c r="J34" s="123">
        <f>AVERAGE(Intellectual_Disability_Data!EM115,Intellectual_Disability_Data!EM120,Intellectual_Disability_Data!EM125)</f>
        <v>8567.1201977703186</v>
      </c>
      <c r="K34" s="123">
        <f>AVERAGE(Intellectual_Disability_Data!EY115,Intellectual_Disability_Data!EY120,Intellectual_Disability_Data!EY125)</f>
        <v>13899.534055480115</v>
      </c>
      <c r="L34" s="123">
        <f>AVERAGE(Intellectual_Disability_Data!FK115,Intellectual_Disability_Data!FK120,Intellectual_Disability_Data!FK125)</f>
        <v>74503.126967409233</v>
      </c>
      <c r="M34" s="123">
        <f>AVERAGE(Intellectual_Disability_Data!FW115,Intellectual_Disability_Data!FW120,Intellectual_Disability_Data!FW125)</f>
        <v>29411.992973798435</v>
      </c>
      <c r="N34" s="123">
        <f>AVERAGE(Intellectual_Disability_Data!GA115,Intellectual_Disability_Data!GA120,Intellectual_Disability_Data!GA125)</f>
        <v>202231.68179514873</v>
      </c>
      <c r="O34" s="123">
        <f>AVERAGE(Intellectual_Disability_Data!GB115,Intellectual_Disability_Data!GB120,Intellectual_Disability_Data!GB125)</f>
        <v>221166.92737436589</v>
      </c>
      <c r="P34" s="27"/>
    </row>
    <row r="35" spans="1:16" s="83" customFormat="1" ht="14.5" x14ac:dyDescent="0.35">
      <c r="A35" s="27"/>
      <c r="B35" s="135"/>
      <c r="C35" s="129" t="s">
        <v>260</v>
      </c>
      <c r="D35" s="126">
        <f>Intellectual_Disability_Data!Q115</f>
        <v>7541.3347393364929</v>
      </c>
      <c r="E35" s="126">
        <f>Intellectual_Disability_Data!CH115</f>
        <v>954.99465639810421</v>
      </c>
      <c r="F35" s="126">
        <f>Intellectual_Disability_Data!CQ115</f>
        <v>121.05740628240353</v>
      </c>
      <c r="G35" s="126">
        <f>Intellectual_Disability_Data!FZ115</f>
        <v>8617.3868020170012</v>
      </c>
      <c r="H35" s="126">
        <f>Intellectual_Disability_Data!DI115</f>
        <v>51511.178214639527</v>
      </c>
      <c r="I35" s="126">
        <f>Intellectual_Disability_Data!DU115</f>
        <v>1320.9629748200896</v>
      </c>
      <c r="J35" s="126">
        <f>Intellectual_Disability_Data!EM115</f>
        <v>3774.243403645331</v>
      </c>
      <c r="K35" s="126">
        <f>Intellectual_Disability_Data!EY115</f>
        <v>11847.794923045472</v>
      </c>
      <c r="L35" s="126">
        <f>Intellectual_Disability_Data!FK115</f>
        <v>59553.784991270637</v>
      </c>
      <c r="M35" s="126">
        <f>Intellectual_Disability_Data!FW115</f>
        <v>15494.618762475049</v>
      </c>
      <c r="N35" s="126">
        <f>Intellectual_Disability_Data!GA115</f>
        <v>143502.5832698961</v>
      </c>
      <c r="O35" s="126">
        <f>Intellectual_Disability_Data!GB115</f>
        <v>152119.97007191309</v>
      </c>
      <c r="P35" s="27"/>
    </row>
    <row r="36" spans="1:16" s="83" customFormat="1" ht="14.5" x14ac:dyDescent="0.35">
      <c r="A36" s="27"/>
      <c r="B36" s="135"/>
      <c r="C36" s="129" t="s">
        <v>261</v>
      </c>
      <c r="D36" s="126">
        <f>Intellectual_Disability_Data!Q125</f>
        <v>31076.44456404736</v>
      </c>
      <c r="E36" s="126">
        <f>Intellectual_Disability_Data!CH125</f>
        <v>2110.2906403940888</v>
      </c>
      <c r="F36" s="126">
        <f>Intellectual_Disability_Data!CQ125</f>
        <v>150.20935931083369</v>
      </c>
      <c r="G36" s="126">
        <f>Intellectual_Disability_Data!FZ125</f>
        <v>33336.944563752288</v>
      </c>
      <c r="H36" s="126">
        <f>Intellectual_Disability_Data!DI125</f>
        <v>86334.799424324665</v>
      </c>
      <c r="I36" s="126">
        <f>Intellectual_Disability_Data!DU125</f>
        <v>3757.5177014218011</v>
      </c>
      <c r="J36" s="126">
        <f>Intellectual_Disability_Data!EM125</f>
        <v>13359.996991895305</v>
      </c>
      <c r="K36" s="126">
        <f>Intellectual_Disability_Data!EY125</f>
        <v>15541.118993924179</v>
      </c>
      <c r="L36" s="126">
        <f>Intellectual_Disability_Data!FK125</f>
        <v>86214.979848413495</v>
      </c>
      <c r="M36" s="126">
        <f>Intellectual_Disability_Data!FW125</f>
        <v>40604.011428571423</v>
      </c>
      <c r="N36" s="126">
        <f>Intellectual_Disability_Data!GA125</f>
        <v>245812.42438855089</v>
      </c>
      <c r="O36" s="126">
        <f>Intellectual_Disability_Data!GB125</f>
        <v>279149.36895230319</v>
      </c>
      <c r="P36" s="27"/>
    </row>
    <row r="37" spans="1:16" s="83" customFormat="1" x14ac:dyDescent="0.35">
      <c r="A37" s="27"/>
      <c r="B37" s="135" t="s">
        <v>266</v>
      </c>
      <c r="C37" s="115" t="s">
        <v>259</v>
      </c>
      <c r="D37" s="123">
        <f>AVERAGE(Intellectual_Disability_Data!Q116,Intellectual_Disability_Data!Q121,Intellectual_Disability_Data!Q126)</f>
        <v>17401.32555217683</v>
      </c>
      <c r="E37" s="123">
        <f>AVERAGE(Intellectual_Disability_Data!CH116,Intellectual_Disability_Data!CH121,Intellectual_Disability_Data!CH126)</f>
        <v>1398.2866442436996</v>
      </c>
      <c r="F37" s="123">
        <f>AVERAGE(Intellectual_Disability_Data!CQ116,Intellectual_Disability_Data!CQ121,Intellectual_Disability_Data!CQ126)</f>
        <v>135.6333827966186</v>
      </c>
      <c r="G37" s="123">
        <f>AVERAGE(Intellectual_Disability_Data!FZ116,Intellectual_Disability_Data!FZ121,Intellectual_Disability_Data!FZ126)</f>
        <v>18935.245579217149</v>
      </c>
      <c r="H37" s="123">
        <f>AVERAGE(Intellectual_Disability_Data!DI116,Intellectual_Disability_Data!DI121,Intellectual_Disability_Data!DI126)</f>
        <v>73160.807870853852</v>
      </c>
      <c r="I37" s="123">
        <f>AVERAGE(Intellectual_Disability_Data!DU116,Intellectual_Disability_Data!DU121,Intellectual_Disability_Data!DU126)</f>
        <v>2689.0997298367743</v>
      </c>
      <c r="J37" s="123">
        <f>AVERAGE(Intellectual_Disability_Data!EM116,Intellectual_Disability_Data!EM121,Intellectual_Disability_Data!EM126)</f>
        <v>8567.1201977703186</v>
      </c>
      <c r="K37" s="123">
        <f>AVERAGE(Intellectual_Disability_Data!EY116,Intellectual_Disability_Data!EY121,Intellectual_Disability_Data!EY126)</f>
        <v>13371.877823046512</v>
      </c>
      <c r="L37" s="123">
        <f>AVERAGE(Intellectual_Disability_Data!FK116,Intellectual_Disability_Data!FK121,Intellectual_Disability_Data!FK126)</f>
        <v>91374.427151700322</v>
      </c>
      <c r="M37" s="123">
        <f>AVERAGE(Intellectual_Disability_Data!FW116,Intellectual_Disability_Data!FW121,Intellectual_Disability_Data!FW126)</f>
        <v>29411.992973798435</v>
      </c>
      <c r="N37" s="123">
        <f>AVERAGE(Intellectual_Disability_Data!GA116,Intellectual_Disability_Data!GA121,Intellectual_Disability_Data!GA126)</f>
        <v>218575.32574700625</v>
      </c>
      <c r="O37" s="123">
        <f>AVERAGE(Intellectual_Disability_Data!GB116,Intellectual_Disability_Data!GB121,Intellectual_Disability_Data!GB126)</f>
        <v>237510.57132622335</v>
      </c>
      <c r="P37" s="27"/>
    </row>
    <row r="38" spans="1:16" s="83" customFormat="1" ht="14.5" x14ac:dyDescent="0.35">
      <c r="A38" s="27"/>
      <c r="B38" s="135"/>
      <c r="C38" s="129" t="s">
        <v>260</v>
      </c>
      <c r="D38" s="126">
        <f>Intellectual_Disability_Data!Q116</f>
        <v>7541.3347393364929</v>
      </c>
      <c r="E38" s="126">
        <f>Intellectual_Disability_Data!CH116</f>
        <v>954.99465639810421</v>
      </c>
      <c r="F38" s="126">
        <f>Intellectual_Disability_Data!CQ116</f>
        <v>121.05740628240353</v>
      </c>
      <c r="G38" s="126">
        <f>Intellectual_Disability_Data!FZ116</f>
        <v>8617.3868020170012</v>
      </c>
      <c r="H38" s="126">
        <f>Intellectual_Disability_Data!DI116</f>
        <v>51511.178214639527</v>
      </c>
      <c r="I38" s="126">
        <f>Intellectual_Disability_Data!DU116</f>
        <v>1320.9629748200896</v>
      </c>
      <c r="J38" s="126">
        <f>Intellectual_Disability_Data!EM116</f>
        <v>3774.243403645331</v>
      </c>
      <c r="K38" s="126">
        <f>Intellectual_Disability_Data!EY116</f>
        <v>10660.568400069871</v>
      </c>
      <c r="L38" s="126">
        <f>Intellectual_Disability_Data!FK116</f>
        <v>74443.654601850765</v>
      </c>
      <c r="M38" s="126">
        <f>Intellectual_Disability_Data!FW116</f>
        <v>15494.618762475049</v>
      </c>
      <c r="N38" s="126">
        <f>Intellectual_Disability_Data!GA116</f>
        <v>157205.22635750065</v>
      </c>
      <c r="O38" s="126">
        <f>Intellectual_Disability_Data!GB116</f>
        <v>165822.61315951764</v>
      </c>
      <c r="P38" s="27"/>
    </row>
    <row r="39" spans="1:16" s="83" customFormat="1" ht="14.5" x14ac:dyDescent="0.35">
      <c r="A39" s="27"/>
      <c r="B39" s="135"/>
      <c r="C39" s="129" t="s">
        <v>261</v>
      </c>
      <c r="D39" s="126">
        <f>Intellectual_Disability_Data!Q126</f>
        <v>31076.44456404736</v>
      </c>
      <c r="E39" s="126">
        <f>Intellectual_Disability_Data!CH126</f>
        <v>2110.2906403940888</v>
      </c>
      <c r="F39" s="126">
        <f>Intellectual_Disability_Data!CQ126</f>
        <v>150.20935931083369</v>
      </c>
      <c r="G39" s="126">
        <f>Intellectual_Disability_Data!FZ126</f>
        <v>33336.944563752288</v>
      </c>
      <c r="H39" s="126">
        <f>Intellectual_Disability_Data!DI126</f>
        <v>86334.799424324665</v>
      </c>
      <c r="I39" s="126">
        <f>Intellectual_Disability_Data!DU126</f>
        <v>3757.5177014218011</v>
      </c>
      <c r="J39" s="126">
        <f>Intellectual_Disability_Data!EM126</f>
        <v>13359.996991895305</v>
      </c>
      <c r="K39" s="126">
        <f>Intellectual_Disability_Data!EY126</f>
        <v>15541.118993924179</v>
      </c>
      <c r="L39" s="126">
        <f>Intellectual_Disability_Data!FK126</f>
        <v>98574.777394256598</v>
      </c>
      <c r="M39" s="126">
        <f>Intellectual_Disability_Data!FW126</f>
        <v>40604.011428571423</v>
      </c>
      <c r="N39" s="126">
        <f>Intellectual_Disability_Data!GA126</f>
        <v>260702.29399913101</v>
      </c>
      <c r="O39" s="126">
        <f>Intellectual_Disability_Data!GB126</f>
        <v>294039.23856288329</v>
      </c>
      <c r="P39" s="27"/>
    </row>
    <row r="40" spans="1:16" s="83" customFormat="1" x14ac:dyDescent="0.35">
      <c r="A40" s="27"/>
      <c r="B40" s="135" t="s">
        <v>267</v>
      </c>
      <c r="C40" s="115" t="s">
        <v>259</v>
      </c>
      <c r="D40" s="123">
        <f>AVERAGE(Intellectual_Disability_Data!Q117,Intellectual_Disability_Data!Q122,Intellectual_Disability_Data!Q127)</f>
        <v>17401.32555217683</v>
      </c>
      <c r="E40" s="123">
        <f>AVERAGE(Intellectual_Disability_Data!CH117,Intellectual_Disability_Data!CH122,Intellectual_Disability_Data!CH127)</f>
        <v>2966.2683430620486</v>
      </c>
      <c r="F40" s="123">
        <f>AVERAGE(Intellectual_Disability_Data!CQ117,Intellectual_Disability_Data!CQ122,Intellectual_Disability_Data!CQ127)</f>
        <v>282.22390307688528</v>
      </c>
      <c r="G40" s="123">
        <f>AVERAGE(Intellectual_Disability_Data!FZ117,Intellectual_Disability_Data!FZ122,Intellectual_Disability_Data!FZ127)</f>
        <v>20649.817798315762</v>
      </c>
      <c r="H40" s="123">
        <f>AVERAGE(Intellectual_Disability_Data!DI117,Intellectual_Disability_Data!DI122,Intellectual_Disability_Data!DI127)</f>
        <v>80853.969694800529</v>
      </c>
      <c r="I40" s="123">
        <f>AVERAGE(Intellectual_Disability_Data!DU117,Intellectual_Disability_Data!DU122,Intellectual_Disability_Data!DU127)</f>
        <v>2689.0997298367743</v>
      </c>
      <c r="J40" s="123">
        <f>AVERAGE(Intellectual_Disability_Data!EM117,Intellectual_Disability_Data!EM122,Intellectual_Disability_Data!EM127)</f>
        <v>8567.1201977703186</v>
      </c>
      <c r="K40" s="123">
        <f>AVERAGE(Intellectual_Disability_Data!EY117,Intellectual_Disability_Data!EY122,Intellectual_Disability_Data!EY127)</f>
        <v>14360.656714356124</v>
      </c>
      <c r="L40" s="123">
        <f>AVERAGE(Intellectual_Disability_Data!FK117,Intellectual_Disability_Data!FK122,Intellectual_Disability_Data!FK127)</f>
        <v>104349.85897786093</v>
      </c>
      <c r="M40" s="123">
        <f>AVERAGE(Intellectual_Disability_Data!FW117,Intellectual_Disability_Data!FW122,Intellectual_Disability_Data!FW127)</f>
        <v>29411.992973798435</v>
      </c>
      <c r="N40" s="123">
        <f>AVERAGE(Intellectual_Disability_Data!GA117,Intellectual_Disability_Data!GA122,Intellectual_Disability_Data!GA127)</f>
        <v>240232.6982884231</v>
      </c>
      <c r="O40" s="123">
        <f>AVERAGE(Intellectual_Disability_Data!GB117,Intellectual_Disability_Data!GB122,Intellectual_Disability_Data!GB127)</f>
        <v>260882.51608673888</v>
      </c>
      <c r="P40" s="27"/>
    </row>
    <row r="41" spans="1:16" s="83" customFormat="1" ht="14.5" x14ac:dyDescent="0.35">
      <c r="A41" s="27"/>
      <c r="B41" s="135"/>
      <c r="C41" s="129" t="s">
        <v>260</v>
      </c>
      <c r="D41" s="126">
        <f>Intellectual_Disability_Data!Q117</f>
        <v>7541.3347393364929</v>
      </c>
      <c r="E41" s="126">
        <f>Intellectual_Disability_Data!CH117</f>
        <v>1930.4680680247561</v>
      </c>
      <c r="F41" s="126">
        <f>Intellectual_Disability_Data!CQ117</f>
        <v>188.77949893180758</v>
      </c>
      <c r="G41" s="126">
        <f>Intellectual_Disability_Data!FZ117</f>
        <v>9660.5823062930558</v>
      </c>
      <c r="H41" s="126">
        <f>Intellectual_Disability_Data!DI117</f>
        <v>51511.178214639527</v>
      </c>
      <c r="I41" s="126">
        <f>Intellectual_Disability_Data!DU117</f>
        <v>1320.9629748200896</v>
      </c>
      <c r="J41" s="126">
        <f>Intellectual_Disability_Data!EM117</f>
        <v>3774.243403645331</v>
      </c>
      <c r="K41" s="126">
        <f>Intellectual_Disability_Data!EY117</f>
        <v>12885.320905516492</v>
      </c>
      <c r="L41" s="126">
        <f>Intellectual_Disability_Data!FK117</f>
        <v>82536.714024235029</v>
      </c>
      <c r="M41" s="126">
        <f>Intellectual_Disability_Data!FW117</f>
        <v>15494.618762475049</v>
      </c>
      <c r="N41" s="126">
        <f>Intellectual_Disability_Data!GA117</f>
        <v>167523.03828533154</v>
      </c>
      <c r="O41" s="126">
        <f>Intellectual_Disability_Data!GB117</f>
        <v>177183.62059162458</v>
      </c>
      <c r="P41" s="27"/>
    </row>
    <row r="42" spans="1:16" s="83" customFormat="1" ht="14.5" x14ac:dyDescent="0.35">
      <c r="A42" s="27"/>
      <c r="B42" s="135"/>
      <c r="C42" s="129" t="s">
        <v>261</v>
      </c>
      <c r="D42" s="126">
        <f>Intellectual_Disability_Data!Q127</f>
        <v>31076.44456404736</v>
      </c>
      <c r="E42" s="126">
        <f>Intellectual_Disability_Data!CH127</f>
        <v>4002.0686180993407</v>
      </c>
      <c r="F42" s="126">
        <f>Intellectual_Disability_Data!CQ127</f>
        <v>375.668307221963</v>
      </c>
      <c r="G42" s="126">
        <f>Intellectual_Disability_Data!FZ127</f>
        <v>35454.181489368661</v>
      </c>
      <c r="H42" s="126">
        <f>Intellectual_Disability_Data!DI127</f>
        <v>99169.105511551141</v>
      </c>
      <c r="I42" s="126">
        <f>Intellectual_Disability_Data!DU127</f>
        <v>3757.5177014218011</v>
      </c>
      <c r="J42" s="126">
        <f>Intellectual_Disability_Data!EM127</f>
        <v>13359.996991895305</v>
      </c>
      <c r="K42" s="126">
        <f>Intellectual_Disability_Data!EY127</f>
        <v>15541.118993924179</v>
      </c>
      <c r="L42" s="126">
        <f>Intellectual_Disability_Data!FK127</f>
        <v>121314.95402796984</v>
      </c>
      <c r="M42" s="126">
        <f>Intellectual_Disability_Data!FW127</f>
        <v>40604.011428571423</v>
      </c>
      <c r="N42" s="126">
        <f>Intellectual_Disability_Data!GA127</f>
        <v>293746.70465533371</v>
      </c>
      <c r="O42" s="126">
        <f>Intellectual_Disability_Data!GB127</f>
        <v>329200.88614470238</v>
      </c>
      <c r="P42" s="27"/>
    </row>
    <row r="43" spans="1:16" s="83" customFormat="1" x14ac:dyDescent="0.35">
      <c r="A43" s="27"/>
      <c r="B43" s="27"/>
      <c r="C43" s="27"/>
      <c r="D43" s="124"/>
      <c r="E43" s="124"/>
      <c r="F43" s="124"/>
      <c r="G43" s="124"/>
      <c r="H43" s="124"/>
      <c r="I43" s="124"/>
      <c r="J43" s="124"/>
      <c r="K43" s="124"/>
      <c r="L43" s="124"/>
      <c r="M43" s="124"/>
      <c r="N43" s="124"/>
      <c r="O43" s="124"/>
      <c r="P43" s="27"/>
    </row>
    <row r="44" spans="1:16" s="83" customFormat="1" x14ac:dyDescent="0.35">
      <c r="A44" s="27"/>
      <c r="B44" s="135" t="s">
        <v>268</v>
      </c>
      <c r="C44" s="115" t="s">
        <v>259</v>
      </c>
      <c r="D44" s="123">
        <f>AVERAGE(Intellectual_Disability_Data!Q131,Intellectual_Disability_Data!Q136,Intellectual_Disability_Data!Q141)</f>
        <v>17401.32555217683</v>
      </c>
      <c r="E44" s="123">
        <f>AVERAGE(Intellectual_Disability_Data!CH131,Intellectual_Disability_Data!CH136,Intellectual_Disability_Data!CH141)</f>
        <v>1398.2866442436996</v>
      </c>
      <c r="F44" s="123">
        <f>AVERAGE(Intellectual_Disability_Data!CQ131,Intellectual_Disability_Data!CQ136,Intellectual_Disability_Data!CQ141)</f>
        <v>135.6333827966186</v>
      </c>
      <c r="G44" s="123">
        <f>AVERAGE(Intellectual_Disability_Data!FZ131,Intellectual_Disability_Data!FZ136,Intellectual_Disability_Data!FZ141)</f>
        <v>18935.245579217149</v>
      </c>
      <c r="H44" s="123">
        <f>AVERAGE(Intellectual_Disability_Data!DI131,Intellectual_Disability_Data!DI136,Intellectual_Disability_Data!DI141)</f>
        <v>60331.085142021824</v>
      </c>
      <c r="I44" s="123">
        <f>AVERAGE(Intellectual_Disability_Data!DU131,Intellectual_Disability_Data!DU136,Intellectual_Disability_Data!DU141)</f>
        <v>0</v>
      </c>
      <c r="J44" s="123">
        <f>AVERAGE(Intellectual_Disability_Data!EM131,Intellectual_Disability_Data!EM136,Intellectual_Disability_Data!EM141)</f>
        <v>13598.492374957299</v>
      </c>
      <c r="K44" s="123">
        <f>AVERAGE(Intellectual_Disability_Data!EY131,Intellectual_Disability_Data!EY136,Intellectual_Disability_Data!EY141)</f>
        <v>13899.534055480115</v>
      </c>
      <c r="L44" s="123">
        <f>AVERAGE(Intellectual_Disability_Data!FK131,Intellectual_Disability_Data!FK136,Intellectual_Disability_Data!FK141)</f>
        <v>74503.126967409233</v>
      </c>
      <c r="M44" s="123">
        <f>AVERAGE(Intellectual_Disability_Data!FW131,Intellectual_Disability_Data!FW136,Intellectual_Disability_Data!FW141)</f>
        <v>29411.992973798435</v>
      </c>
      <c r="N44" s="123">
        <f>AVERAGE(Intellectual_Disability_Data!GA131,Intellectual_Disability_Data!GA136,Intellectual_Disability_Data!GA141)</f>
        <v>191744.23151366692</v>
      </c>
      <c r="O44" s="123">
        <f>AVERAGE(Intellectual_Disability_Data!GB131,Intellectual_Disability_Data!GB136,Intellectual_Disability_Data!GB141)</f>
        <v>210679.4770928841</v>
      </c>
      <c r="P44" s="27"/>
    </row>
    <row r="45" spans="1:16" s="83" customFormat="1" ht="14.5" x14ac:dyDescent="0.35">
      <c r="A45" s="27"/>
      <c r="B45" s="135"/>
      <c r="C45" s="129" t="s">
        <v>260</v>
      </c>
      <c r="D45" s="126">
        <f>Intellectual_Disability_Data!Q131</f>
        <v>7541.3347393364929</v>
      </c>
      <c r="E45" s="126">
        <f>Intellectual_Disability_Data!CH131</f>
        <v>954.99465639810421</v>
      </c>
      <c r="F45" s="126">
        <f>Intellectual_Disability_Data!CQ131</f>
        <v>121.05740628240353</v>
      </c>
      <c r="G45" s="126">
        <f>Intellectual_Disability_Data!FZ131</f>
        <v>8617.3868020170012</v>
      </c>
      <c r="H45" s="126">
        <f>Intellectual_Disability_Data!DI131</f>
        <v>21389.766066514021</v>
      </c>
      <c r="I45" s="126">
        <f>Intellectual_Disability_Data!DU131</f>
        <v>0</v>
      </c>
      <c r="J45" s="126">
        <f>Intellectual_Disability_Data!EM131</f>
        <v>9891.1364532019707</v>
      </c>
      <c r="K45" s="126">
        <f>Intellectual_Disability_Data!EY131</f>
        <v>11847.794923045472</v>
      </c>
      <c r="L45" s="126">
        <f>Intellectual_Disability_Data!FK131</f>
        <v>59553.784991270637</v>
      </c>
      <c r="M45" s="126">
        <f>Intellectual_Disability_Data!FW131</f>
        <v>15494.618762475049</v>
      </c>
      <c r="N45" s="126">
        <f>Intellectual_Disability_Data!GA131</f>
        <v>118177.10119650715</v>
      </c>
      <c r="O45" s="126">
        <f>Intellectual_Disability_Data!GB131</f>
        <v>126794.48799852416</v>
      </c>
      <c r="P45" s="27"/>
    </row>
    <row r="46" spans="1:16" s="83" customFormat="1" ht="14.5" x14ac:dyDescent="0.35">
      <c r="A46" s="27"/>
      <c r="B46" s="135"/>
      <c r="C46" s="129" t="s">
        <v>261</v>
      </c>
      <c r="D46" s="126">
        <f>Intellectual_Disability_Data!Q141</f>
        <v>31076.44456404736</v>
      </c>
      <c r="E46" s="126">
        <f>Intellectual_Disability_Data!CH141</f>
        <v>2110.2906403940888</v>
      </c>
      <c r="F46" s="126">
        <f>Intellectual_Disability_Data!CQ141</f>
        <v>150.20935931083369</v>
      </c>
      <c r="G46" s="126">
        <f>Intellectual_Disability_Data!FZ141</f>
        <v>33336.944563752288</v>
      </c>
      <c r="H46" s="126">
        <f>Intellectual_Disability_Data!DI141</f>
        <v>86334.799424324665</v>
      </c>
      <c r="I46" s="126">
        <f>Intellectual_Disability_Data!DU141</f>
        <v>0</v>
      </c>
      <c r="J46" s="126">
        <f>Intellectual_Disability_Data!EM141</f>
        <v>15856.94762669963</v>
      </c>
      <c r="K46" s="126">
        <f>Intellectual_Disability_Data!EY141</f>
        <v>15541.118993924179</v>
      </c>
      <c r="L46" s="126">
        <f>Intellectual_Disability_Data!FK141</f>
        <v>86214.979848413495</v>
      </c>
      <c r="M46" s="126">
        <f>Intellectual_Disability_Data!FW141</f>
        <v>40604.011428571423</v>
      </c>
      <c r="N46" s="126">
        <f>Intellectual_Disability_Data!GA141</f>
        <v>244551.85732193341</v>
      </c>
      <c r="O46" s="126">
        <f>Intellectual_Disability_Data!GB141</f>
        <v>277888.80188568571</v>
      </c>
      <c r="P46" s="27"/>
    </row>
    <row r="47" spans="1:16" s="83" customFormat="1" x14ac:dyDescent="0.35">
      <c r="A47" s="27"/>
      <c r="B47" s="135" t="s">
        <v>269</v>
      </c>
      <c r="C47" s="115" t="s">
        <v>259</v>
      </c>
      <c r="D47" s="123">
        <f>AVERAGE(Intellectual_Disability_Data!Q132,Intellectual_Disability_Data!Q137,Intellectual_Disability_Data!Q142)</f>
        <v>17401.32555217683</v>
      </c>
      <c r="E47" s="123">
        <f>AVERAGE(Intellectual_Disability_Data!CH132,Intellectual_Disability_Data!CH137,Intellectual_Disability_Data!CH142)</f>
        <v>1398.2866442436996</v>
      </c>
      <c r="F47" s="123">
        <f>AVERAGE(Intellectual_Disability_Data!CQ132,Intellectual_Disability_Data!CQ137,Intellectual_Disability_Data!CQ142)</f>
        <v>135.6333827966186</v>
      </c>
      <c r="G47" s="123">
        <f>AVERAGE(Intellectual_Disability_Data!FZ132,Intellectual_Disability_Data!FZ137,Intellectual_Disability_Data!FZ142)</f>
        <v>18935.245579217149</v>
      </c>
      <c r="H47" s="123">
        <f>AVERAGE(Intellectual_Disability_Data!DI132,Intellectual_Disability_Data!DI137,Intellectual_Disability_Data!DI142)</f>
        <v>63061.284542193207</v>
      </c>
      <c r="I47" s="123">
        <f>AVERAGE(Intellectual_Disability_Data!DU132,Intellectual_Disability_Data!DU137,Intellectual_Disability_Data!DU142)</f>
        <v>0</v>
      </c>
      <c r="J47" s="123">
        <f>AVERAGE(Intellectual_Disability_Data!EM132,Intellectual_Disability_Data!EM137,Intellectual_Disability_Data!EM142)</f>
        <v>13413.044868530566</v>
      </c>
      <c r="K47" s="123">
        <f>AVERAGE(Intellectual_Disability_Data!EY132,Intellectual_Disability_Data!EY137,Intellectual_Disability_Data!EY142)</f>
        <v>13371.877823046512</v>
      </c>
      <c r="L47" s="123">
        <f>AVERAGE(Intellectual_Disability_Data!FK132,Intellectual_Disability_Data!FK137,Intellectual_Disability_Data!FK142)</f>
        <v>91374.427151700322</v>
      </c>
      <c r="M47" s="123">
        <f>AVERAGE(Intellectual_Disability_Data!FW132,Intellectual_Disability_Data!FW137,Intellectual_Disability_Data!FW142)</f>
        <v>29411.992973798435</v>
      </c>
      <c r="N47" s="123">
        <f>AVERAGE(Intellectual_Disability_Data!GA132,Intellectual_Disability_Data!GA137,Intellectual_Disability_Data!GA142)</f>
        <v>210632.62735926907</v>
      </c>
      <c r="O47" s="123">
        <f>AVERAGE(Intellectual_Disability_Data!GB132,Intellectual_Disability_Data!GB137,Intellectual_Disability_Data!GB142)</f>
        <v>229567.87293848619</v>
      </c>
      <c r="P47" s="27"/>
    </row>
    <row r="48" spans="1:16" s="83" customFormat="1" ht="14.5" x14ac:dyDescent="0.35">
      <c r="A48" s="27"/>
      <c r="B48" s="135"/>
      <c r="C48" s="129" t="s">
        <v>260</v>
      </c>
      <c r="D48" s="126">
        <f>Intellectual_Disability_Data!Q132</f>
        <v>7541.3347393364929</v>
      </c>
      <c r="E48" s="126">
        <f>Intellectual_Disability_Data!CH132</f>
        <v>954.99465639810421</v>
      </c>
      <c r="F48" s="126">
        <f>Intellectual_Disability_Data!CQ132</f>
        <v>121.05740628240353</v>
      </c>
      <c r="G48" s="126">
        <f>Intellectual_Disability_Data!FZ132</f>
        <v>8617.3868020170012</v>
      </c>
      <c r="H48" s="126">
        <f>Intellectual_Disability_Data!DI132</f>
        <v>21389.766066514021</v>
      </c>
      <c r="I48" s="126">
        <f>Intellectual_Disability_Data!DU132</f>
        <v>0</v>
      </c>
      <c r="J48" s="126">
        <f>Intellectual_Disability_Data!EM132</f>
        <v>9891.1364532019707</v>
      </c>
      <c r="K48" s="126">
        <f>Intellectual_Disability_Data!EY132</f>
        <v>10660.568400069871</v>
      </c>
      <c r="L48" s="126">
        <f>Intellectual_Disability_Data!FK132</f>
        <v>74443.654601850765</v>
      </c>
      <c r="M48" s="126">
        <f>Intellectual_Disability_Data!FW132</f>
        <v>15494.618762475049</v>
      </c>
      <c r="N48" s="126">
        <f>Intellectual_Disability_Data!GA132</f>
        <v>131879.74428411169</v>
      </c>
      <c r="O48" s="126">
        <f>Intellectual_Disability_Data!GB132</f>
        <v>140497.13108612868</v>
      </c>
      <c r="P48" s="27"/>
    </row>
    <row r="49" spans="1:16" s="83" customFormat="1" ht="14.5" x14ac:dyDescent="0.35">
      <c r="A49" s="27"/>
      <c r="B49" s="135"/>
      <c r="C49" s="129" t="s">
        <v>261</v>
      </c>
      <c r="D49" s="126">
        <f>Intellectual_Disability_Data!Q142</f>
        <v>31076.44456404736</v>
      </c>
      <c r="E49" s="126">
        <f>Intellectual_Disability_Data!CH142</f>
        <v>2110.2906403940888</v>
      </c>
      <c r="F49" s="126">
        <f>Intellectual_Disability_Data!CQ142</f>
        <v>150.20935931083369</v>
      </c>
      <c r="G49" s="126">
        <f>Intellectual_Disability_Data!FZ142</f>
        <v>33336.944563752288</v>
      </c>
      <c r="H49" s="126">
        <f>Intellectual_Disability_Data!DI142</f>
        <v>86334.799424324665</v>
      </c>
      <c r="I49" s="126">
        <f>Intellectual_Disability_Data!DU142</f>
        <v>0</v>
      </c>
      <c r="J49" s="126">
        <f>Intellectual_Disability_Data!EM142</f>
        <v>15856.94762669963</v>
      </c>
      <c r="K49" s="126">
        <f>Intellectual_Disability_Data!EY142</f>
        <v>15541.118993924179</v>
      </c>
      <c r="L49" s="126">
        <f>Intellectual_Disability_Data!FK142</f>
        <v>98574.777394256598</v>
      </c>
      <c r="M49" s="126">
        <f>Intellectual_Disability_Data!FW142</f>
        <v>40604.011428571423</v>
      </c>
      <c r="N49" s="126">
        <f>Intellectual_Disability_Data!GA142</f>
        <v>259441.72693251353</v>
      </c>
      <c r="O49" s="126">
        <f>Intellectual_Disability_Data!GB142</f>
        <v>292778.6714962658</v>
      </c>
      <c r="P49" s="27"/>
    </row>
    <row r="50" spans="1:16" s="83" customFormat="1" x14ac:dyDescent="0.35">
      <c r="A50" s="27"/>
      <c r="B50" s="135" t="s">
        <v>270</v>
      </c>
      <c r="C50" s="115" t="s">
        <v>259</v>
      </c>
      <c r="D50" s="123">
        <f>AVERAGE(Intellectual_Disability_Data!Q133,Intellectual_Disability_Data!Q138,Intellectual_Disability_Data!Q143)</f>
        <v>17401.32555217683</v>
      </c>
      <c r="E50" s="123">
        <f>AVERAGE(Intellectual_Disability_Data!CH133,Intellectual_Disability_Data!CH138,Intellectual_Disability_Data!CH143)</f>
        <v>2966.2683430620486</v>
      </c>
      <c r="F50" s="123">
        <f>AVERAGE(Intellectual_Disability_Data!CQ133,Intellectual_Disability_Data!CQ138,Intellectual_Disability_Data!CQ143)</f>
        <v>282.22390307688528</v>
      </c>
      <c r="G50" s="123">
        <f>AVERAGE(Intellectual_Disability_Data!FZ133,Intellectual_Disability_Data!FZ138,Intellectual_Disability_Data!FZ143)</f>
        <v>20649.817798315762</v>
      </c>
      <c r="H50" s="123">
        <f>AVERAGE(Intellectual_Disability_Data!DI133,Intellectual_Disability_Data!DI138,Intellectual_Disability_Data!DI143)</f>
        <v>75889.657757877649</v>
      </c>
      <c r="I50" s="123">
        <f>AVERAGE(Intellectual_Disability_Data!DU133,Intellectual_Disability_Data!DU138,Intellectual_Disability_Data!DU143)</f>
        <v>0</v>
      </c>
      <c r="J50" s="123">
        <f>AVERAGE(Intellectual_Disability_Data!EM133,Intellectual_Disability_Data!EM138,Intellectual_Disability_Data!EM143)</f>
        <v>7538.1574739826901</v>
      </c>
      <c r="K50" s="123">
        <f>AVERAGE(Intellectual_Disability_Data!EY133,Intellectual_Disability_Data!EY138,Intellectual_Disability_Data!EY143)</f>
        <v>14360.656714356124</v>
      </c>
      <c r="L50" s="123">
        <f>AVERAGE(Intellectual_Disability_Data!FK133,Intellectual_Disability_Data!FK138,Intellectual_Disability_Data!FK143)</f>
        <v>104349.85897786093</v>
      </c>
      <c r="M50" s="123">
        <f>AVERAGE(Intellectual_Disability_Data!FW133,Intellectual_Disability_Data!FW138,Intellectual_Disability_Data!FW143)</f>
        <v>29411.992973798435</v>
      </c>
      <c r="N50" s="123">
        <f>AVERAGE(Intellectual_Disability_Data!GA133,Intellectual_Disability_Data!GA138,Intellectual_Disability_Data!GA143)</f>
        <v>231550.32389787582</v>
      </c>
      <c r="O50" s="123">
        <f>AVERAGE(Intellectual_Disability_Data!GB133,Intellectual_Disability_Data!GB138,Intellectual_Disability_Data!GB143)</f>
        <v>252200.1416961916</v>
      </c>
      <c r="P50" s="27"/>
    </row>
    <row r="51" spans="1:16" s="83" customFormat="1" ht="14.5" x14ac:dyDescent="0.35">
      <c r="A51" s="27"/>
      <c r="B51" s="135"/>
      <c r="C51" s="129" t="s">
        <v>260</v>
      </c>
      <c r="D51" s="126">
        <f>Intellectual_Disability_Data!Q133</f>
        <v>7541.3347393364929</v>
      </c>
      <c r="E51" s="126">
        <f>Intellectual_Disability_Data!CH133</f>
        <v>1930.4680680247561</v>
      </c>
      <c r="F51" s="126">
        <f>Intellectual_Disability_Data!CQ133</f>
        <v>188.77949893180758</v>
      </c>
      <c r="G51" s="126">
        <f>Intellectual_Disability_Data!FZ133</f>
        <v>9660.5823062930558</v>
      </c>
      <c r="H51" s="126">
        <f>Intellectual_Disability_Data!DI133</f>
        <v>55739.525676741148</v>
      </c>
      <c r="I51" s="126">
        <f>Intellectual_Disability_Data!DU133</f>
        <v>0</v>
      </c>
      <c r="J51" s="126">
        <f>Intellectual_Disability_Data!EM133</f>
        <v>6397.9389717223657</v>
      </c>
      <c r="K51" s="126">
        <f>Intellectual_Disability_Data!EY133</f>
        <v>12885.320905516492</v>
      </c>
      <c r="L51" s="126">
        <f>Intellectual_Disability_Data!FK133</f>
        <v>82536.714024235029</v>
      </c>
      <c r="M51" s="126">
        <f>Intellectual_Disability_Data!FW133</f>
        <v>15494.618762475049</v>
      </c>
      <c r="N51" s="126">
        <f>Intellectual_Disability_Data!GA133</f>
        <v>173054.1183406901</v>
      </c>
      <c r="O51" s="126">
        <f>Intellectual_Disability_Data!GB133</f>
        <v>182714.70064698314</v>
      </c>
      <c r="P51" s="27"/>
    </row>
    <row r="52" spans="1:16" s="83" customFormat="1" ht="14.5" x14ac:dyDescent="0.35">
      <c r="A52" s="27"/>
      <c r="B52" s="135"/>
      <c r="C52" s="129" t="s">
        <v>261</v>
      </c>
      <c r="D52" s="126">
        <f>Intellectual_Disability_Data!Q143</f>
        <v>31076.44456404736</v>
      </c>
      <c r="E52" s="126">
        <f>Intellectual_Disability_Data!CH143</f>
        <v>4002.0686180993407</v>
      </c>
      <c r="F52" s="126">
        <f>Intellectual_Disability_Data!CQ143</f>
        <v>375.668307221963</v>
      </c>
      <c r="G52" s="126">
        <f>Intellectual_Disability_Data!FZ143</f>
        <v>35454.181489368661</v>
      </c>
      <c r="H52" s="126">
        <f>Intellectual_Disability_Data!DI143</f>
        <v>91881.62535821092</v>
      </c>
      <c r="I52" s="126">
        <f>Intellectual_Disability_Data!DU143</f>
        <v>0</v>
      </c>
      <c r="J52" s="126">
        <f>Intellectual_Disability_Data!EM143</f>
        <v>9344.4404145077715</v>
      </c>
      <c r="K52" s="126">
        <f>Intellectual_Disability_Data!EY143</f>
        <v>15541.118993924179</v>
      </c>
      <c r="L52" s="126">
        <f>Intellectual_Disability_Data!FK143</f>
        <v>121314.95402796984</v>
      </c>
      <c r="M52" s="126">
        <f>Intellectual_Disability_Data!FW143</f>
        <v>40604.011428571423</v>
      </c>
      <c r="N52" s="126">
        <f>Intellectual_Disability_Data!GA143</f>
        <v>278686.15022318414</v>
      </c>
      <c r="O52" s="126">
        <f>Intellectual_Disability_Data!GB143</f>
        <v>314140.33171255281</v>
      </c>
      <c r="P52" s="27"/>
    </row>
    <row r="53" spans="1:16" s="83" customFormat="1" x14ac:dyDescent="0.35">
      <c r="A53" s="27"/>
      <c r="B53" s="27"/>
      <c r="C53" s="27"/>
      <c r="D53" s="124"/>
      <c r="E53" s="124"/>
      <c r="F53" s="124"/>
      <c r="G53" s="124"/>
      <c r="H53" s="124"/>
      <c r="I53" s="124"/>
      <c r="J53" s="124"/>
      <c r="K53" s="124"/>
      <c r="L53" s="124"/>
      <c r="M53" s="124"/>
      <c r="N53" s="124"/>
      <c r="O53" s="124"/>
      <c r="P53" s="27"/>
    </row>
    <row r="54" spans="1:16" s="83" customFormat="1" x14ac:dyDescent="0.35">
      <c r="A54" s="27"/>
      <c r="B54" s="135" t="s">
        <v>271</v>
      </c>
      <c r="C54" s="115" t="s">
        <v>259</v>
      </c>
      <c r="D54" s="123">
        <f>AVERAGE(Intellectual_Disability_Data!Q147,Intellectual_Disability_Data!Q152,Intellectual_Disability_Data!Q157)</f>
        <v>2316.3140616113747</v>
      </c>
      <c r="E54" s="123">
        <f>AVERAGE(Intellectual_Disability_Data!CH147,Intellectual_Disability_Data!CH152,Intellectual_Disability_Data!CH157)</f>
        <v>2401.7869052132701</v>
      </c>
      <c r="F54" s="123">
        <f>AVERAGE(Intellectual_Disability_Data!CQ147,Intellectual_Disability_Data!CQ152,Intellectual_Disability_Data!CQ157)</f>
        <v>100.12927853121577</v>
      </c>
      <c r="G54" s="123">
        <f>AVERAGE(Intellectual_Disability_Data!FZ147,Intellectual_Disability_Data!FZ152,Intellectual_Disability_Data!FZ157)</f>
        <v>4818.2302453558605</v>
      </c>
      <c r="H54" s="123">
        <f>AVERAGE(Intellectual_Disability_Data!DI147,Intellectual_Disability_Data!DI152,Intellectual_Disability_Data!DI157)</f>
        <v>60331.085142021824</v>
      </c>
      <c r="I54" s="123">
        <f>AVERAGE(Intellectual_Disability_Data!DU147,Intellectual_Disability_Data!DU152,Intellectual_Disability_Data!DU157)</f>
        <v>0</v>
      </c>
      <c r="J54" s="123">
        <f>AVERAGE(Intellectual_Disability_Data!EM147,Intellectual_Disability_Data!EM152,Intellectual_Disability_Data!EM157)</f>
        <v>11521.739317535546</v>
      </c>
      <c r="K54" s="123">
        <f>AVERAGE(Intellectual_Disability_Data!EY147,Intellectual_Disability_Data!EY152,Intellectual_Disability_Data!EY157)</f>
        <v>13418.531300726316</v>
      </c>
      <c r="L54" s="123">
        <f>AVERAGE(Intellectual_Disability_Data!FK147,Intellectual_Disability_Data!FK152,Intellectual_Disability_Data!FK157)</f>
        <v>75536.998966148094</v>
      </c>
      <c r="M54" s="123">
        <f>AVERAGE(Intellectual_Disability_Data!FW147,Intellectual_Disability_Data!FW152,Intellectual_Disability_Data!FW157)</f>
        <v>2261.8023088333139</v>
      </c>
      <c r="N54" s="123">
        <f>AVERAGE(Intellectual_Disability_Data!GA147,Intellectual_Disability_Data!GA152,Intellectual_Disability_Data!GA157)</f>
        <v>162668.70316859844</v>
      </c>
      <c r="O54" s="123">
        <f>AVERAGE(Intellectual_Disability_Data!GB147,Intellectual_Disability_Data!GB152,Intellectual_Disability_Data!GB157)</f>
        <v>167486.93341395431</v>
      </c>
      <c r="P54" s="27"/>
    </row>
    <row r="55" spans="1:16" s="83" customFormat="1" ht="14.5" x14ac:dyDescent="0.35">
      <c r="A55" s="27"/>
      <c r="B55" s="135"/>
      <c r="C55" s="129" t="s">
        <v>260</v>
      </c>
      <c r="D55" s="126">
        <f>Intellectual_Disability_Data!Q147</f>
        <v>1198.580803106885</v>
      </c>
      <c r="E55" s="126">
        <f>Intellectual_Disability_Data!CH147</f>
        <v>1857.7364644353688</v>
      </c>
      <c r="F55" s="126">
        <f>Intellectual_Disability_Data!CQ147</f>
        <v>74.530057792088968</v>
      </c>
      <c r="G55" s="126">
        <f>Intellectual_Disability_Data!FZ147</f>
        <v>3130.8473253343427</v>
      </c>
      <c r="H55" s="126">
        <f>Intellectual_Disability_Data!DI147</f>
        <v>21389.766066514021</v>
      </c>
      <c r="I55" s="126">
        <f>Intellectual_Disability_Data!DU147</f>
        <v>0</v>
      </c>
      <c r="J55" s="126">
        <f>Intellectual_Disability_Data!EM147</f>
        <v>9528.0729964278562</v>
      </c>
      <c r="K55" s="126">
        <f>Intellectual_Disability_Data!EY147</f>
        <v>11847.794923045472</v>
      </c>
      <c r="L55" s="126">
        <f>Intellectual_Disability_Data!FK147</f>
        <v>60026.437790668162</v>
      </c>
      <c r="M55" s="126">
        <f>Intellectual_Disability_Data!FW147</f>
        <v>2211.2800000000002</v>
      </c>
      <c r="N55" s="126">
        <f>Intellectual_Disability_Data!GA147</f>
        <v>105121.05522153048</v>
      </c>
      <c r="O55" s="126">
        <f>Intellectual_Disability_Data!GB147</f>
        <v>108251.90254686482</v>
      </c>
      <c r="P55" s="27"/>
    </row>
    <row r="56" spans="1:16" s="83" customFormat="1" ht="14.5" x14ac:dyDescent="0.35">
      <c r="A56" s="27"/>
      <c r="B56" s="135"/>
      <c r="C56" s="129" t="s">
        <v>261</v>
      </c>
      <c r="D56" s="126">
        <f>Intellectual_Disability_Data!Q157</f>
        <v>3434.0473201158643</v>
      </c>
      <c r="E56" s="126">
        <f>Intellectual_Disability_Data!CH157</f>
        <v>2945.8373459911713</v>
      </c>
      <c r="F56" s="126">
        <f>Intellectual_Disability_Data!CQ157</f>
        <v>125.72849927034257</v>
      </c>
      <c r="G56" s="126">
        <f>Intellectual_Disability_Data!FZ157</f>
        <v>6505.6131653773782</v>
      </c>
      <c r="H56" s="126">
        <f>Intellectual_Disability_Data!DI157</f>
        <v>86334.799424324665</v>
      </c>
      <c r="I56" s="126">
        <f>Intellectual_Disability_Data!DU157</f>
        <v>0</v>
      </c>
      <c r="J56" s="126">
        <f>Intellectual_Disability_Data!EM157</f>
        <v>13515.405638643237</v>
      </c>
      <c r="K56" s="126">
        <f>Intellectual_Disability_Data!EY157</f>
        <v>14675.120402870991</v>
      </c>
      <c r="L56" s="126">
        <f>Intellectual_Disability_Data!FK157</f>
        <v>87810.071046493686</v>
      </c>
      <c r="M56" s="126">
        <f>Intellectual_Disability_Data!FW157</f>
        <v>2328.9834448749561</v>
      </c>
      <c r="N56" s="126">
        <f>Intellectual_Disability_Data!GA157</f>
        <v>204546.67651233257</v>
      </c>
      <c r="O56" s="126">
        <f>Intellectual_Disability_Data!GB157</f>
        <v>211052.28967770995</v>
      </c>
      <c r="P56" s="27"/>
    </row>
    <row r="57" spans="1:16" s="83" customFormat="1" x14ac:dyDescent="0.35">
      <c r="A57" s="27"/>
      <c r="B57" s="135" t="s">
        <v>272</v>
      </c>
      <c r="C57" s="115" t="s">
        <v>259</v>
      </c>
      <c r="D57" s="123">
        <f>AVERAGE(Intellectual_Disability_Data!Q148,Intellectual_Disability_Data!Q153,Intellectual_Disability_Data!Q158)</f>
        <v>2316.3140616113747</v>
      </c>
      <c r="E57" s="123">
        <f>AVERAGE(Intellectual_Disability_Data!CH148,Intellectual_Disability_Data!CH153,Intellectual_Disability_Data!CH158)</f>
        <v>2401.7869052132701</v>
      </c>
      <c r="F57" s="123">
        <f>AVERAGE(Intellectual_Disability_Data!CQ148,Intellectual_Disability_Data!CQ153,Intellectual_Disability_Data!CQ158)</f>
        <v>100.12927853121577</v>
      </c>
      <c r="G57" s="123">
        <f>AVERAGE(Intellectual_Disability_Data!FZ148,Intellectual_Disability_Data!FZ153,Intellectual_Disability_Data!FZ158)</f>
        <v>4818.2302453558605</v>
      </c>
      <c r="H57" s="123">
        <f>AVERAGE(Intellectual_Disability_Data!DI148,Intellectual_Disability_Data!DI153,Intellectual_Disability_Data!DI158)</f>
        <v>63061.284542193207</v>
      </c>
      <c r="I57" s="123">
        <f>AVERAGE(Intellectual_Disability_Data!DU148,Intellectual_Disability_Data!DU153,Intellectual_Disability_Data!DU158)</f>
        <v>0</v>
      </c>
      <c r="J57" s="123">
        <f>AVERAGE(Intellectual_Disability_Data!EM148,Intellectual_Disability_Data!EM153,Intellectual_Disability_Data!EM158)</f>
        <v>11521.739317535546</v>
      </c>
      <c r="K57" s="123">
        <f>AVERAGE(Intellectual_Disability_Data!EY148,Intellectual_Disability_Data!EY153,Intellectual_Disability_Data!EY158)</f>
        <v>12890.875068292715</v>
      </c>
      <c r="L57" s="123">
        <f>AVERAGE(Intellectual_Disability_Data!FK148,Intellectual_Disability_Data!FK153,Intellectual_Disability_Data!FK158)</f>
        <v>92408.299150439168</v>
      </c>
      <c r="M57" s="123">
        <f>AVERAGE(Intellectual_Disability_Data!FW148,Intellectual_Disability_Data!FW153,Intellectual_Disability_Data!FW158)</f>
        <v>2261.8023088333139</v>
      </c>
      <c r="N57" s="123">
        <f>AVERAGE(Intellectual_Disability_Data!GA148,Intellectual_Disability_Data!GA153,Intellectual_Disability_Data!GA158)</f>
        <v>181742.54652062731</v>
      </c>
      <c r="O57" s="123">
        <f>AVERAGE(Intellectual_Disability_Data!GB148,Intellectual_Disability_Data!GB153,Intellectual_Disability_Data!GB158)</f>
        <v>186560.77676598317</v>
      </c>
      <c r="P57" s="27"/>
    </row>
    <row r="58" spans="1:16" s="83" customFormat="1" ht="14.5" x14ac:dyDescent="0.35">
      <c r="A58" s="27"/>
      <c r="B58" s="135"/>
      <c r="C58" s="129" t="s">
        <v>260</v>
      </c>
      <c r="D58" s="126">
        <f>Intellectual_Disability_Data!Q148</f>
        <v>1198.580803106885</v>
      </c>
      <c r="E58" s="126">
        <f>Intellectual_Disability_Data!CH148</f>
        <v>1857.7364644353688</v>
      </c>
      <c r="F58" s="126">
        <f>Intellectual_Disability_Data!CQ148</f>
        <v>74.530057792088968</v>
      </c>
      <c r="G58" s="126">
        <f>Intellectual_Disability_Data!FZ148</f>
        <v>3130.8473253343427</v>
      </c>
      <c r="H58" s="126">
        <f>Intellectual_Disability_Data!DI148</f>
        <v>21389.766066514021</v>
      </c>
      <c r="I58" s="126">
        <f>Intellectual_Disability_Data!DU148</f>
        <v>0</v>
      </c>
      <c r="J58" s="126">
        <f>Intellectual_Disability_Data!EM148</f>
        <v>9528.0729964278562</v>
      </c>
      <c r="K58" s="126">
        <f>Intellectual_Disability_Data!EY148</f>
        <v>10660.568400069871</v>
      </c>
      <c r="L58" s="126">
        <f>Intellectual_Disability_Data!FK148</f>
        <v>74916.307401248283</v>
      </c>
      <c r="M58" s="126">
        <f>Intellectual_Disability_Data!FW148</f>
        <v>2211.2800000000002</v>
      </c>
      <c r="N58" s="126">
        <f>Intellectual_Disability_Data!GA148</f>
        <v>118823.69830913501</v>
      </c>
      <c r="O58" s="126">
        <f>Intellectual_Disability_Data!GB148</f>
        <v>121954.54563446935</v>
      </c>
      <c r="P58" s="27"/>
    </row>
    <row r="59" spans="1:16" s="83" customFormat="1" ht="14.5" x14ac:dyDescent="0.35">
      <c r="A59" s="27"/>
      <c r="B59" s="135"/>
      <c r="C59" s="129" t="s">
        <v>261</v>
      </c>
      <c r="D59" s="126">
        <f>Intellectual_Disability_Data!Q158</f>
        <v>3434.0473201158643</v>
      </c>
      <c r="E59" s="126">
        <f>Intellectual_Disability_Data!CH158</f>
        <v>2945.8373459911713</v>
      </c>
      <c r="F59" s="126">
        <f>Intellectual_Disability_Data!CQ158</f>
        <v>125.72849927034257</v>
      </c>
      <c r="G59" s="126">
        <f>Intellectual_Disability_Data!FZ158</f>
        <v>6505.6131653773782</v>
      </c>
      <c r="H59" s="126">
        <f>Intellectual_Disability_Data!DI158</f>
        <v>86334.799424324665</v>
      </c>
      <c r="I59" s="126">
        <f>Intellectual_Disability_Data!DU158</f>
        <v>0</v>
      </c>
      <c r="J59" s="126">
        <f>Intellectual_Disability_Data!EM158</f>
        <v>13515.405638643237</v>
      </c>
      <c r="K59" s="126">
        <f>Intellectual_Disability_Data!EY158</f>
        <v>14675.120402870991</v>
      </c>
      <c r="L59" s="126">
        <f>Intellectual_Disability_Data!FK158</f>
        <v>99608.649392995459</v>
      </c>
      <c r="M59" s="126">
        <f>Intellectual_Disability_Data!FW158</f>
        <v>2328.9834448749561</v>
      </c>
      <c r="N59" s="126">
        <f>Intellectual_Disability_Data!GA158</f>
        <v>219436.5461229127</v>
      </c>
      <c r="O59" s="126">
        <f>Intellectual_Disability_Data!GB158</f>
        <v>225942.15928829007</v>
      </c>
      <c r="P59" s="27"/>
    </row>
    <row r="60" spans="1:16" s="83" customFormat="1" x14ac:dyDescent="0.35">
      <c r="A60" s="27"/>
      <c r="B60" s="135" t="s">
        <v>273</v>
      </c>
      <c r="C60" s="115" t="s">
        <v>259</v>
      </c>
      <c r="D60" s="123">
        <f>AVERAGE(Intellectual_Disability_Data!Q149,Intellectual_Disability_Data!Q154,Intellectual_Disability_Data!Q159)</f>
        <v>2316.3140616113747</v>
      </c>
      <c r="E60" s="123">
        <f>AVERAGE(Intellectual_Disability_Data!CH149,Intellectual_Disability_Data!CH154,Intellectual_Disability_Data!CH159)</f>
        <v>2401.7869052132701</v>
      </c>
      <c r="F60" s="123">
        <f>AVERAGE(Intellectual_Disability_Data!CQ149,Intellectual_Disability_Data!CQ154,Intellectual_Disability_Data!CQ159)</f>
        <v>246.71979881148249</v>
      </c>
      <c r="G60" s="123">
        <f>AVERAGE(Intellectual_Disability_Data!FZ149,Intellectual_Disability_Data!FZ154,Intellectual_Disability_Data!FZ159)</f>
        <v>4964.8207656361274</v>
      </c>
      <c r="H60" s="123">
        <f>AVERAGE(Intellectual_Disability_Data!DI149,Intellectual_Disability_Data!DI154,Intellectual_Disability_Data!DI159)</f>
        <v>75889.657757877649</v>
      </c>
      <c r="I60" s="123">
        <f>AVERAGE(Intellectual_Disability_Data!DU149,Intellectual_Disability_Data!DU154,Intellectual_Disability_Data!DU159)</f>
        <v>0</v>
      </c>
      <c r="J60" s="123">
        <f>AVERAGE(Intellectual_Disability_Data!EM149,Intellectual_Disability_Data!EM154,Intellectual_Disability_Data!EM159)</f>
        <v>11521.739317535546</v>
      </c>
      <c r="K60" s="123">
        <f>AVERAGE(Intellectual_Disability_Data!EY149,Intellectual_Disability_Data!EY154,Intellectual_Disability_Data!EY159)</f>
        <v>13879.653959602327</v>
      </c>
      <c r="L60" s="123">
        <f>AVERAGE(Intellectual_Disability_Data!FK149,Intellectual_Disability_Data!FK154,Intellectual_Disability_Data!FK159)</f>
        <v>105383.73097659978</v>
      </c>
      <c r="M60" s="123">
        <f>AVERAGE(Intellectual_Disability_Data!FW149,Intellectual_Disability_Data!FW154,Intellectual_Disability_Data!FW159)</f>
        <v>2261.8023088333139</v>
      </c>
      <c r="N60" s="123">
        <f>AVERAGE(Intellectual_Disability_Data!GA149,Intellectual_Disability_Data!GA154,Intellectual_Disability_Data!GA159)</f>
        <v>208535.13045378189</v>
      </c>
      <c r="O60" s="123">
        <f>AVERAGE(Intellectual_Disability_Data!GB149,Intellectual_Disability_Data!GB154,Intellectual_Disability_Data!GB159)</f>
        <v>213499.95121941806</v>
      </c>
      <c r="P60" s="27"/>
    </row>
    <row r="61" spans="1:16" s="83" customFormat="1" ht="14.5" x14ac:dyDescent="0.35">
      <c r="A61" s="27"/>
      <c r="B61" s="135"/>
      <c r="C61" s="129" t="s">
        <v>260</v>
      </c>
      <c r="D61" s="126">
        <f>Intellectual_Disability_Data!Q149</f>
        <v>1198.580803106885</v>
      </c>
      <c r="E61" s="126">
        <f>Intellectual_Disability_Data!CH149</f>
        <v>1857.7364644353688</v>
      </c>
      <c r="F61" s="126">
        <f>Intellectual_Disability_Data!CQ149</f>
        <v>142.25215044149303</v>
      </c>
      <c r="G61" s="126">
        <f>Intellectual_Disability_Data!FZ149</f>
        <v>3198.5694179837469</v>
      </c>
      <c r="H61" s="126">
        <f>Intellectual_Disability_Data!DI149</f>
        <v>55739.525676741148</v>
      </c>
      <c r="I61" s="126">
        <f>Intellectual_Disability_Data!DU149</f>
        <v>0</v>
      </c>
      <c r="J61" s="126">
        <f>Intellectual_Disability_Data!EM149</f>
        <v>9528.0729964278562</v>
      </c>
      <c r="K61" s="126">
        <f>Intellectual_Disability_Data!EY149</f>
        <v>12885.320905516492</v>
      </c>
      <c r="L61" s="126">
        <f>Intellectual_Disability_Data!FK149</f>
        <v>83009.366823632561</v>
      </c>
      <c r="M61" s="126">
        <f>Intellectual_Disability_Data!FW149</f>
        <v>2211.2800000000002</v>
      </c>
      <c r="N61" s="126">
        <f>Intellectual_Disability_Data!GA149</f>
        <v>163491.26984719298</v>
      </c>
      <c r="O61" s="126">
        <f>Intellectual_Disability_Data!GB149</f>
        <v>166689.83926517674</v>
      </c>
      <c r="P61" s="27"/>
    </row>
    <row r="62" spans="1:16" s="83" customFormat="1" ht="14.5" x14ac:dyDescent="0.35">
      <c r="A62" s="27"/>
      <c r="B62" s="135"/>
      <c r="C62" s="129" t="s">
        <v>261</v>
      </c>
      <c r="D62" s="126">
        <f>Intellectual_Disability_Data!Q159</f>
        <v>3434.0473201158643</v>
      </c>
      <c r="E62" s="126">
        <f>Intellectual_Disability_Data!CH159</f>
        <v>2945.8373459911713</v>
      </c>
      <c r="F62" s="126">
        <f>Intellectual_Disability_Data!CQ159</f>
        <v>351.1874471814719</v>
      </c>
      <c r="G62" s="126">
        <f>Intellectual_Disability_Data!FZ159</f>
        <v>6731.0721132885074</v>
      </c>
      <c r="H62" s="126">
        <f>Intellectual_Disability_Data!DI159</f>
        <v>91881.62535821092</v>
      </c>
      <c r="I62" s="126">
        <f>Intellectual_Disability_Data!DU159</f>
        <v>0</v>
      </c>
      <c r="J62" s="126">
        <f>Intellectual_Disability_Data!EM159</f>
        <v>13515.405638643237</v>
      </c>
      <c r="K62" s="126">
        <f>Intellectual_Disability_Data!EY159</f>
        <v>14675.120402870991</v>
      </c>
      <c r="L62" s="126">
        <f>Intellectual_Disability_Data!FK159</f>
        <v>122910.04522605003</v>
      </c>
      <c r="M62" s="126">
        <f>Intellectual_Disability_Data!FW159</f>
        <v>2328.9834448749561</v>
      </c>
      <c r="N62" s="126">
        <f>Intellectual_Disability_Data!GA159</f>
        <v>245193.47662577513</v>
      </c>
      <c r="O62" s="126">
        <f>Intellectual_Disability_Data!GB159</f>
        <v>251924.54873906364</v>
      </c>
      <c r="P62" s="27"/>
    </row>
    <row r="63" spans="1:16" x14ac:dyDescent="0.3">
      <c r="A63" s="4"/>
      <c r="B63" s="4"/>
      <c r="C63" s="4"/>
      <c r="D63" s="4"/>
      <c r="E63" s="4"/>
      <c r="F63" s="4"/>
      <c r="G63" s="27"/>
      <c r="H63" s="27"/>
      <c r="I63" s="27"/>
      <c r="J63" s="27"/>
      <c r="K63" s="27"/>
      <c r="L63" s="27"/>
      <c r="M63" s="27"/>
      <c r="N63" s="27"/>
      <c r="O63" s="27"/>
      <c r="P63" s="4"/>
    </row>
  </sheetData>
  <mergeCells count="18">
    <mergeCell ref="B60:B62"/>
    <mergeCell ref="B24:B26"/>
    <mergeCell ref="B27:B29"/>
    <mergeCell ref="B30:B32"/>
    <mergeCell ref="B34:B36"/>
    <mergeCell ref="B37:B39"/>
    <mergeCell ref="B40:B42"/>
    <mergeCell ref="B44:B46"/>
    <mergeCell ref="B47:B49"/>
    <mergeCell ref="B50:B52"/>
    <mergeCell ref="B54:B56"/>
    <mergeCell ref="B57:B59"/>
    <mergeCell ref="B20:B22"/>
    <mergeCell ref="B4:B6"/>
    <mergeCell ref="B7:B9"/>
    <mergeCell ref="B10:B12"/>
    <mergeCell ref="B14:B16"/>
    <mergeCell ref="B17:B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R73"/>
  <sheetViews>
    <sheetView zoomScale="90" zoomScaleNormal="90" workbookViewId="0">
      <pane xSplit="6" ySplit="5" topLeftCell="G6" activePane="bottomRight" state="frozen"/>
      <selection pane="topRight" activeCell="G1" sqref="G1"/>
      <selection pane="bottomLeft" activeCell="A6" sqref="A6"/>
      <selection pane="bottomRight" activeCell="GL44" sqref="GL44"/>
    </sheetView>
  </sheetViews>
  <sheetFormatPr defaultColWidth="9.1796875" defaultRowHeight="14" x14ac:dyDescent="0.3"/>
  <cols>
    <col min="1" max="1" width="1.7265625" style="82" customWidth="1"/>
    <col min="2" max="3" width="24.1796875" style="82" customWidth="1"/>
    <col min="4" max="4" width="24.54296875" style="82" customWidth="1"/>
    <col min="5" max="5" width="10.54296875" style="82" bestFit="1" customWidth="1"/>
    <col min="6" max="6" width="15.7265625" style="82" bestFit="1" customWidth="1"/>
    <col min="7" max="7" width="9.1796875" style="82"/>
    <col min="8" max="8" width="12.81640625" style="82" customWidth="1"/>
    <col min="9" max="9" width="8.453125" style="82" customWidth="1"/>
    <col min="10" max="10" width="1.7265625" style="82" customWidth="1"/>
    <col min="11" max="11" width="14.26953125" style="82" customWidth="1"/>
    <col min="12" max="12" width="12.453125" style="82" customWidth="1"/>
    <col min="13" max="13" width="1.7265625" style="82" customWidth="1"/>
    <col min="14" max="14" width="10.1796875" style="82" bestFit="1" customWidth="1"/>
    <col min="15" max="15" width="10.1796875" style="82" customWidth="1"/>
    <col min="16" max="16" width="1.7265625" style="82" customWidth="1"/>
    <col min="17" max="17" width="19.1796875" style="82" bestFit="1" customWidth="1"/>
    <col min="18" max="18" width="5.54296875" style="82" customWidth="1"/>
    <col min="19" max="19" width="1.7265625" style="82" customWidth="1"/>
    <col min="20" max="20" width="13.7265625" style="82" bestFit="1" customWidth="1"/>
    <col min="21" max="21" width="4" style="82" customWidth="1"/>
    <col min="22" max="22" width="1.7265625" style="82" customWidth="1"/>
    <col min="23" max="23" width="8.54296875" style="82" customWidth="1"/>
    <col min="24" max="24" width="4" style="82" customWidth="1"/>
    <col min="25" max="25" width="1.7265625" style="82" customWidth="1"/>
    <col min="26" max="26" width="10.26953125" style="82" bestFit="1" customWidth="1"/>
    <col min="27" max="27" width="3" style="82" customWidth="1"/>
    <col min="28" max="28" width="1.7265625" style="82" customWidth="1"/>
    <col min="29" max="29" width="11.1796875" style="82" bestFit="1" customWidth="1"/>
    <col min="30" max="30" width="3" style="82" customWidth="1"/>
    <col min="31" max="31" width="1.7265625" style="82" customWidth="1"/>
    <col min="32" max="32" width="10.81640625" style="82" bestFit="1" customWidth="1"/>
    <col min="33" max="33" width="3" style="82" customWidth="1"/>
    <col min="34" max="34" width="1.7265625" style="82" customWidth="1"/>
    <col min="35" max="35" width="10.54296875" style="82" bestFit="1" customWidth="1"/>
    <col min="36" max="36" width="3" style="82" customWidth="1"/>
    <col min="37" max="37" width="1.7265625" style="82" customWidth="1"/>
    <col min="38" max="38" width="14.54296875" style="82" bestFit="1" customWidth="1"/>
    <col min="39" max="39" width="4" style="82" customWidth="1"/>
    <col min="40" max="40" width="1.7265625" style="82" customWidth="1"/>
    <col min="41" max="41" width="13.54296875" style="82" bestFit="1" customWidth="1"/>
    <col min="42" max="42" width="4" style="82" customWidth="1"/>
    <col min="43" max="43" width="1.7265625" style="82" customWidth="1"/>
    <col min="44" max="44" width="10.26953125" style="82" bestFit="1" customWidth="1"/>
    <col min="45" max="45" width="3" style="82" customWidth="1"/>
    <col min="46" max="46" width="1.7265625" style="82" customWidth="1"/>
    <col min="47" max="47" width="13.7265625" style="82" customWidth="1"/>
    <col min="48" max="48" width="4" style="82" customWidth="1"/>
    <col min="49" max="49" width="1.7265625" style="82" customWidth="1"/>
    <col min="50" max="50" width="17.453125" style="82" bestFit="1" customWidth="1"/>
    <col min="51" max="51" width="3" style="82" customWidth="1"/>
    <col min="52" max="52" width="1.7265625" style="82" customWidth="1"/>
    <col min="53" max="53" width="11" style="82" bestFit="1" customWidth="1"/>
    <col min="54" max="54" width="3" style="82" customWidth="1"/>
    <col min="55" max="55" width="1.7265625" style="82" customWidth="1"/>
    <col min="56" max="56" width="13.7265625" style="82" bestFit="1" customWidth="1"/>
    <col min="57" max="57" width="4" style="82" customWidth="1"/>
    <col min="58" max="58" width="1.7265625" style="82" customWidth="1"/>
    <col min="59" max="59" width="13.7265625" style="82" bestFit="1" customWidth="1"/>
    <col min="60" max="60" width="4" style="82" customWidth="1"/>
    <col min="61" max="61" width="1.7265625" style="82" customWidth="1"/>
    <col min="62" max="62" width="6.54296875" style="82" customWidth="1"/>
    <col min="63" max="63" width="3" style="82" customWidth="1"/>
    <col min="64" max="64" width="1.7265625" style="82" customWidth="1"/>
    <col min="65" max="65" width="7.26953125" style="82" customWidth="1"/>
    <col min="66" max="66" width="3" style="82" customWidth="1"/>
    <col min="67" max="67" width="1.7265625" style="82" customWidth="1"/>
    <col min="68" max="68" width="7.54296875" style="82" customWidth="1"/>
    <col min="69" max="69" width="3" style="82" customWidth="1"/>
    <col min="70" max="70" width="1.7265625" style="82" customWidth="1"/>
    <col min="71" max="71" width="11.26953125" style="82" bestFit="1" customWidth="1"/>
    <col min="72" max="72" width="4" style="82" customWidth="1"/>
    <col min="73" max="73" width="1.7265625" style="82" customWidth="1"/>
    <col min="74" max="74" width="15" style="82" bestFit="1" customWidth="1"/>
    <col min="75" max="75" width="3" style="82" customWidth="1"/>
    <col min="76" max="76" width="1.7265625" style="82" customWidth="1"/>
    <col min="77" max="77" width="9.453125" style="82" bestFit="1" customWidth="1"/>
    <col min="78" max="78" width="3" style="82" customWidth="1"/>
    <col min="79" max="79" width="1.7265625" style="82" customWidth="1"/>
    <col min="80" max="80" width="14.54296875" style="82" bestFit="1" customWidth="1"/>
    <col min="81" max="81" width="3" style="82" customWidth="1"/>
    <col min="82" max="82" width="1.7265625" style="82" customWidth="1"/>
    <col min="83" max="83" width="13.7265625" style="82" bestFit="1" customWidth="1"/>
    <col min="84" max="84" width="4" style="82" customWidth="1"/>
    <col min="85" max="85" width="1.7265625" style="82" customWidth="1"/>
    <col min="86" max="86" width="21.81640625" style="82" customWidth="1"/>
    <col min="87" max="87" width="13.7265625" style="82" customWidth="1"/>
    <col min="88" max="88" width="1.7265625" style="82" customWidth="1"/>
    <col min="89" max="89" width="19.7265625" style="82" bestFit="1" customWidth="1"/>
    <col min="90" max="90" width="13.7265625" style="82" customWidth="1"/>
    <col min="91" max="91" width="1.7265625" style="82" customWidth="1"/>
    <col min="92" max="92" width="14.26953125" style="82" bestFit="1" customWidth="1"/>
    <col min="93" max="93" width="13.7265625" style="82" customWidth="1"/>
    <col min="94" max="94" width="1.7265625" style="82" customWidth="1"/>
    <col min="95" max="96" width="13.7265625" style="82" customWidth="1"/>
    <col min="97" max="97" width="1.6328125" style="82" customWidth="1"/>
    <col min="98" max="98" width="34.453125" style="82" customWidth="1"/>
    <col min="99" max="99" width="1.6328125" style="82" customWidth="1"/>
    <col min="100" max="100" width="13.1796875" style="82" customWidth="1"/>
    <col min="101" max="101" width="11.81640625" style="82" bestFit="1" customWidth="1"/>
    <col min="102" max="102" width="3" style="82" customWidth="1"/>
    <col min="103" max="103" width="1.7265625" style="82" customWidth="1"/>
    <col min="104" max="104" width="14.54296875" style="82" bestFit="1" customWidth="1"/>
    <col min="105" max="105" width="3" style="82" customWidth="1"/>
    <col min="106" max="106" width="1.7265625" style="82" customWidth="1"/>
    <col min="107" max="107" width="13.7265625" style="82" bestFit="1" customWidth="1"/>
    <col min="108" max="108" width="3" style="82" customWidth="1"/>
    <col min="109" max="109" width="1.7265625" style="82" customWidth="1"/>
    <col min="110" max="110" width="10.81640625" style="82" bestFit="1" customWidth="1"/>
    <col min="111" max="111" width="3" style="82" customWidth="1"/>
    <col min="112" max="112" width="1.7265625" style="82" customWidth="1"/>
    <col min="113" max="113" width="7.26953125" style="82" customWidth="1"/>
    <col min="114" max="114" width="3" style="82" customWidth="1"/>
    <col min="115" max="115" width="1.7265625" style="82" customWidth="1"/>
    <col min="116" max="116" width="13.7265625" style="82" customWidth="1"/>
    <col min="117" max="117" width="4" style="82" customWidth="1"/>
    <col min="118" max="118" width="1.7265625" style="82" customWidth="1"/>
    <col min="119" max="119" width="16.7265625" style="82" bestFit="1" customWidth="1"/>
    <col min="120" max="120" width="4" style="82" customWidth="1"/>
    <col min="121" max="121" width="1.7265625" style="82" customWidth="1"/>
    <col min="122" max="122" width="18" style="82" bestFit="1" customWidth="1"/>
    <col min="123" max="123" width="3" style="82" customWidth="1"/>
    <col min="124" max="124" width="1.7265625" style="82" customWidth="1"/>
    <col min="125" max="125" width="15.54296875" style="82" bestFit="1" customWidth="1"/>
    <col min="126" max="126" width="4" style="82" customWidth="1"/>
    <col min="127" max="127" width="1.7265625" style="82" customWidth="1"/>
    <col min="128" max="128" width="16.26953125" style="82" bestFit="1" customWidth="1"/>
    <col min="129" max="129" width="3" style="82" customWidth="1"/>
    <col min="130" max="130" width="1.7265625" style="82" customWidth="1"/>
    <col min="131" max="131" width="12.81640625" style="82" customWidth="1"/>
    <col min="132" max="132" width="11.26953125" style="82" customWidth="1"/>
    <col min="133" max="133" width="1.7265625" style="82" customWidth="1"/>
    <col min="134" max="134" width="10.1796875" style="82" bestFit="1" customWidth="1"/>
    <col min="135" max="135" width="4" style="82" customWidth="1"/>
    <col min="136" max="136" width="1.7265625" style="82" customWidth="1"/>
    <col min="137" max="137" width="9.26953125" style="82" bestFit="1" customWidth="1"/>
    <col min="138" max="138" width="3" style="82" customWidth="1"/>
    <col min="139" max="139" width="1.7265625" style="82" customWidth="1"/>
    <col min="140" max="140" width="12.1796875" style="82" bestFit="1" customWidth="1"/>
    <col min="141" max="141" width="3" style="82" customWidth="1"/>
    <col min="142" max="142" width="1.7265625" style="82" customWidth="1"/>
    <col min="143" max="143" width="13.453125" style="82" bestFit="1" customWidth="1"/>
    <col min="144" max="144" width="4" style="82" customWidth="1"/>
    <col min="145" max="145" width="1.7265625" style="82" customWidth="1"/>
    <col min="146" max="146" width="12.453125" style="82" bestFit="1" customWidth="1"/>
    <col min="147" max="147" width="3" style="82" customWidth="1"/>
    <col min="148" max="148" width="1.7265625" style="82" customWidth="1"/>
    <col min="149" max="149" width="17.7265625" style="82" bestFit="1" customWidth="1"/>
    <col min="150" max="150" width="3" style="82" customWidth="1"/>
    <col min="151" max="151" width="1.7265625" style="82" customWidth="1"/>
    <col min="152" max="152" width="15" style="82" bestFit="1" customWidth="1"/>
    <col min="153" max="153" width="4" style="82" customWidth="1"/>
    <col min="154" max="154" width="1.7265625" style="82" customWidth="1"/>
    <col min="155" max="155" width="22.453125" style="82" bestFit="1" customWidth="1"/>
    <col min="156" max="156" width="3" style="82" customWidth="1"/>
    <col min="157" max="157" width="1.7265625" style="82" customWidth="1"/>
    <col min="158" max="158" width="17.81640625" style="82" bestFit="1" customWidth="1"/>
    <col min="159" max="159" width="4" style="82" customWidth="1"/>
    <col min="160" max="160" width="1.6328125" style="82" customWidth="1"/>
    <col min="161" max="161" width="22" style="82" customWidth="1"/>
    <col min="162" max="162" width="1.6328125" style="82" customWidth="1"/>
    <col min="163" max="163" width="10" style="82" customWidth="1"/>
    <col min="164" max="164" width="11.453125" style="82" bestFit="1" customWidth="1"/>
    <col min="165" max="165" width="4" style="82" customWidth="1"/>
    <col min="166" max="166" width="1.7265625" style="82" customWidth="1"/>
    <col min="167" max="167" width="12.453125" style="82" bestFit="1" customWidth="1"/>
    <col min="168" max="168" width="12.453125" style="82" customWidth="1"/>
    <col min="169" max="169" width="1.7265625" style="82" customWidth="1"/>
    <col min="170" max="170" width="11.81640625" style="82" bestFit="1" customWidth="1"/>
    <col min="171" max="171" width="4" style="82" customWidth="1"/>
    <col min="172" max="172" width="1.7265625" style="82" customWidth="1"/>
    <col min="173" max="173" width="10.1796875" style="82" customWidth="1"/>
    <col min="174" max="174" width="4" style="82" customWidth="1"/>
    <col min="175" max="175" width="1.6328125" style="82" customWidth="1"/>
    <col min="176" max="176" width="18.81640625" style="82" customWidth="1"/>
    <col min="177" max="177" width="1.6328125" style="82" customWidth="1"/>
    <col min="178" max="178" width="13.1796875" style="82" customWidth="1"/>
    <col min="179" max="179" width="13.7265625" style="82" customWidth="1"/>
    <col min="180" max="180" width="4" style="82" customWidth="1"/>
    <col min="181" max="181" width="1.7265625" style="82" customWidth="1"/>
    <col min="182" max="182" width="12" style="82" bestFit="1" customWidth="1"/>
    <col min="183" max="183" width="4" style="82" customWidth="1"/>
    <col min="184" max="184" width="1.7265625" style="82" customWidth="1"/>
    <col min="185" max="185" width="19.7265625" style="82" customWidth="1"/>
    <col min="186" max="186" width="4" style="82" customWidth="1"/>
    <col min="187" max="187" width="1.7265625" style="82" customWidth="1"/>
    <col min="188" max="188" width="16.26953125" style="82" customWidth="1"/>
    <col min="189" max="189" width="4" style="82" customWidth="1"/>
    <col min="190" max="190" width="1.7265625" style="82" customWidth="1"/>
    <col min="191" max="191" width="17.81640625" style="82" customWidth="1"/>
    <col min="192" max="192" width="4" style="82" customWidth="1"/>
    <col min="193" max="193" width="1.6328125" style="82" customWidth="1"/>
    <col min="194" max="194" width="22.6328125" style="82" customWidth="1"/>
    <col min="195" max="195" width="1.6328125" style="82" customWidth="1"/>
    <col min="196" max="196" width="3.7265625" style="82" customWidth="1"/>
    <col min="197" max="197" width="31.7265625" style="82" bestFit="1" customWidth="1"/>
    <col min="198" max="198" width="26.7265625" style="82" bestFit="1" customWidth="1"/>
    <col min="199" max="199" width="19.7265625" style="82" bestFit="1" customWidth="1"/>
    <col min="200" max="200" width="3.7265625" style="82" customWidth="1"/>
    <col min="201" max="16384" width="9.1796875" style="82"/>
  </cols>
  <sheetData>
    <row r="1" spans="1:200" ht="20" x14ac:dyDescent="0.4">
      <c r="A1" s="55"/>
      <c r="B1" s="53" t="s">
        <v>253</v>
      </c>
      <c r="C1" s="53"/>
      <c r="D1" s="54"/>
      <c r="E1" s="54"/>
      <c r="F1" s="54"/>
      <c r="G1" s="55"/>
      <c r="H1" s="55"/>
      <c r="I1" s="55"/>
      <c r="J1" s="55"/>
      <c r="K1" s="55"/>
      <c r="L1" s="55"/>
      <c r="M1" s="55"/>
      <c r="N1" s="55"/>
      <c r="O1" s="55"/>
      <c r="P1" s="55"/>
      <c r="Q1" s="56" t="s">
        <v>245</v>
      </c>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9"/>
      <c r="GO1" s="55"/>
      <c r="GP1" s="55"/>
      <c r="GQ1" s="55"/>
      <c r="GR1" s="59"/>
    </row>
    <row r="2" spans="1:200" ht="20" x14ac:dyDescent="0.4">
      <c r="A2" s="55"/>
      <c r="B2" s="53"/>
      <c r="C2" s="53"/>
      <c r="D2" s="54"/>
      <c r="E2" s="54"/>
      <c r="F2" s="54"/>
      <c r="G2" s="55"/>
      <c r="H2" s="55"/>
      <c r="I2" s="55"/>
      <c r="J2" s="57"/>
      <c r="K2" s="55"/>
      <c r="L2" s="60" t="s">
        <v>161</v>
      </c>
      <c r="M2" s="60"/>
      <c r="N2" s="60" t="s">
        <v>12</v>
      </c>
      <c r="O2" s="60" t="s">
        <v>14</v>
      </c>
      <c r="P2" s="60"/>
      <c r="Q2" s="60" t="s">
        <v>12</v>
      </c>
      <c r="R2" s="60" t="s">
        <v>12</v>
      </c>
      <c r="S2" s="60"/>
      <c r="T2" s="60" t="s">
        <v>12</v>
      </c>
      <c r="U2" s="60" t="s">
        <v>13</v>
      </c>
      <c r="V2" s="60"/>
      <c r="W2" s="60" t="s">
        <v>12</v>
      </c>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9"/>
      <c r="GO2" s="55"/>
      <c r="GP2" s="55"/>
      <c r="GQ2" s="55"/>
      <c r="GR2" s="59"/>
    </row>
    <row r="3" spans="1:200" x14ac:dyDescent="0.3">
      <c r="A3" s="55"/>
      <c r="B3" s="96" t="s">
        <v>211</v>
      </c>
      <c r="C3" s="54"/>
      <c r="D3" s="54"/>
      <c r="E3" s="54"/>
      <c r="F3" s="54"/>
      <c r="G3" s="55"/>
      <c r="H3" s="54" t="s">
        <v>63</v>
      </c>
      <c r="I3" s="55"/>
      <c r="J3" s="57"/>
      <c r="K3" s="55"/>
      <c r="L3" s="70">
        <v>1</v>
      </c>
      <c r="M3" s="70"/>
      <c r="N3" s="70">
        <v>1.1200000000000001</v>
      </c>
      <c r="O3" s="70">
        <v>1</v>
      </c>
      <c r="P3" s="70"/>
      <c r="Q3" s="70">
        <v>1.31</v>
      </c>
      <c r="R3" s="70">
        <v>1</v>
      </c>
      <c r="S3" s="70"/>
      <c r="T3" s="70">
        <v>1</v>
      </c>
      <c r="U3" s="70">
        <v>1</v>
      </c>
      <c r="V3" s="70"/>
      <c r="W3" s="70">
        <v>0.7</v>
      </c>
      <c r="X3" s="56"/>
      <c r="Y3" s="56"/>
      <c r="Z3" s="56"/>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4" t="s">
        <v>61</v>
      </c>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9"/>
      <c r="GO3" s="55"/>
      <c r="GP3" s="55"/>
      <c r="GQ3" s="55"/>
      <c r="GR3" s="59"/>
    </row>
    <row r="4" spans="1:200" x14ac:dyDescent="0.3">
      <c r="A4" s="55"/>
      <c r="B4" s="97" t="s">
        <v>216</v>
      </c>
      <c r="C4" s="54"/>
      <c r="D4" s="55"/>
      <c r="E4" s="55"/>
      <c r="F4" s="55"/>
      <c r="G4" s="55"/>
      <c r="H4" s="58" t="s">
        <v>62</v>
      </c>
      <c r="I4" s="55"/>
      <c r="J4" s="55"/>
      <c r="K4" s="55"/>
      <c r="L4" s="55"/>
      <c r="M4" s="55"/>
      <c r="N4" s="55"/>
      <c r="O4" s="55"/>
      <c r="P4" s="55"/>
      <c r="Q4" s="55"/>
      <c r="R4" s="55"/>
      <c r="S4" s="55"/>
      <c r="T4" s="58" t="s">
        <v>64</v>
      </c>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8" t="s">
        <v>80</v>
      </c>
      <c r="CL4" s="55"/>
      <c r="CM4" s="55"/>
      <c r="CN4" s="55"/>
      <c r="CO4" s="55"/>
      <c r="CP4" s="55"/>
      <c r="CQ4" s="55"/>
      <c r="CR4" s="55"/>
      <c r="CS4" s="55"/>
      <c r="CT4" s="55"/>
      <c r="CU4" s="55"/>
      <c r="CV4" s="55"/>
      <c r="CW4" s="58" t="s">
        <v>71</v>
      </c>
      <c r="CX4" s="55"/>
      <c r="CY4" s="55"/>
      <c r="CZ4" s="55"/>
      <c r="DA4" s="55"/>
      <c r="DB4" s="55"/>
      <c r="DC4" s="55"/>
      <c r="DD4" s="55"/>
      <c r="DE4" s="55"/>
      <c r="DF4" s="55"/>
      <c r="DG4" s="55"/>
      <c r="DH4" s="55"/>
      <c r="DI4" s="55"/>
      <c r="DJ4" s="55"/>
      <c r="DK4" s="55"/>
      <c r="DL4" s="55"/>
      <c r="DM4" s="55"/>
      <c r="DN4" s="55"/>
      <c r="DO4" s="55"/>
      <c r="DP4" s="55"/>
      <c r="DQ4" s="55"/>
      <c r="DR4" s="58" t="s">
        <v>60</v>
      </c>
      <c r="DS4" s="55"/>
      <c r="DT4" s="55"/>
      <c r="DU4" s="55"/>
      <c r="DV4" s="55"/>
      <c r="DW4" s="55"/>
      <c r="DX4" s="55"/>
      <c r="DY4" s="55"/>
      <c r="DZ4" s="55"/>
      <c r="EA4" s="55"/>
      <c r="EB4" s="55"/>
      <c r="EC4" s="55"/>
      <c r="ED4" s="58" t="s">
        <v>65</v>
      </c>
      <c r="EE4" s="58"/>
      <c r="EF4" s="58"/>
      <c r="EG4" s="58"/>
      <c r="EH4" s="58"/>
      <c r="EI4" s="58"/>
      <c r="EJ4" s="58"/>
      <c r="EK4" s="58"/>
      <c r="EL4" s="58"/>
      <c r="EM4" s="58"/>
      <c r="EN4" s="58"/>
      <c r="EO4" s="58"/>
      <c r="EP4" s="58"/>
      <c r="EQ4" s="58"/>
      <c r="ER4" s="58"/>
      <c r="ES4" s="58"/>
      <c r="ET4" s="58"/>
      <c r="EU4" s="55"/>
      <c r="EV4" s="58" t="s">
        <v>85</v>
      </c>
      <c r="EW4" s="55"/>
      <c r="EX4" s="55"/>
      <c r="EY4" s="55"/>
      <c r="EZ4" s="55"/>
      <c r="FA4" s="55"/>
      <c r="FB4" s="55"/>
      <c r="FC4" s="55"/>
      <c r="FD4" s="55"/>
      <c r="FE4" s="55"/>
      <c r="FF4" s="55"/>
      <c r="FG4" s="55"/>
      <c r="FH4" s="58" t="s">
        <v>82</v>
      </c>
      <c r="FI4" s="55"/>
      <c r="FJ4" s="55"/>
      <c r="FK4" s="55"/>
      <c r="FL4" s="55"/>
      <c r="FM4" s="55"/>
      <c r="FN4" s="55"/>
      <c r="FO4" s="55"/>
      <c r="FP4" s="55"/>
      <c r="FQ4" s="55"/>
      <c r="FR4" s="55"/>
      <c r="FS4" s="55"/>
      <c r="FT4" s="55"/>
      <c r="FU4" s="55"/>
      <c r="FV4" s="55"/>
      <c r="FW4" s="58" t="s">
        <v>84</v>
      </c>
      <c r="FX4" s="55"/>
      <c r="FY4" s="55"/>
      <c r="FZ4" s="55"/>
      <c r="GA4" s="55"/>
      <c r="GB4" s="55"/>
      <c r="GC4" s="55"/>
      <c r="GD4" s="55"/>
      <c r="GE4" s="55"/>
      <c r="GF4" s="55"/>
      <c r="GG4" s="55"/>
      <c r="GH4" s="55"/>
      <c r="GI4" s="55"/>
      <c r="GJ4" s="55"/>
      <c r="GK4" s="55"/>
      <c r="GL4" s="55"/>
      <c r="GM4" s="55"/>
      <c r="GN4" s="59"/>
      <c r="GO4" s="55"/>
      <c r="GP4" s="55"/>
      <c r="GQ4" s="55"/>
      <c r="GR4" s="59"/>
    </row>
    <row r="5" spans="1:200" x14ac:dyDescent="0.3">
      <c r="A5" s="55"/>
      <c r="B5" s="61" t="s">
        <v>4</v>
      </c>
      <c r="C5" s="61" t="s">
        <v>221</v>
      </c>
      <c r="D5" s="61" t="s">
        <v>22</v>
      </c>
      <c r="E5" s="61" t="s">
        <v>123</v>
      </c>
      <c r="F5" s="61" t="s">
        <v>35</v>
      </c>
      <c r="G5" s="62"/>
      <c r="H5" s="63" t="s">
        <v>5</v>
      </c>
      <c r="I5" s="63" t="s">
        <v>34</v>
      </c>
      <c r="J5" s="67"/>
      <c r="K5" s="64" t="s">
        <v>6</v>
      </c>
      <c r="L5" s="64" t="s">
        <v>34</v>
      </c>
      <c r="M5" s="67"/>
      <c r="N5" s="63" t="s">
        <v>36</v>
      </c>
      <c r="O5" s="63" t="s">
        <v>34</v>
      </c>
      <c r="P5" s="67"/>
      <c r="Q5" s="63" t="s">
        <v>37</v>
      </c>
      <c r="R5" s="63" t="s">
        <v>34</v>
      </c>
      <c r="S5" s="67"/>
      <c r="T5" s="63" t="s">
        <v>38</v>
      </c>
      <c r="U5" s="63" t="s">
        <v>34</v>
      </c>
      <c r="V5" s="67"/>
      <c r="W5" s="63" t="s">
        <v>157</v>
      </c>
      <c r="X5" s="63" t="s">
        <v>34</v>
      </c>
      <c r="Y5" s="67"/>
      <c r="Z5" s="63" t="s">
        <v>39</v>
      </c>
      <c r="AA5" s="63" t="s">
        <v>34</v>
      </c>
      <c r="AB5" s="66"/>
      <c r="AC5" s="63" t="s">
        <v>40</v>
      </c>
      <c r="AD5" s="63" t="s">
        <v>34</v>
      </c>
      <c r="AE5" s="67"/>
      <c r="AF5" s="63" t="s">
        <v>41</v>
      </c>
      <c r="AG5" s="63" t="s">
        <v>34</v>
      </c>
      <c r="AH5" s="67"/>
      <c r="AI5" s="63" t="s">
        <v>43</v>
      </c>
      <c r="AJ5" s="63" t="s">
        <v>34</v>
      </c>
      <c r="AK5" s="67"/>
      <c r="AL5" s="63" t="s">
        <v>44</v>
      </c>
      <c r="AM5" s="63" t="s">
        <v>34</v>
      </c>
      <c r="AN5" s="67"/>
      <c r="AO5" s="63" t="s">
        <v>89</v>
      </c>
      <c r="AP5" s="63" t="s">
        <v>34</v>
      </c>
      <c r="AQ5" s="67"/>
      <c r="AR5" s="63" t="s">
        <v>45</v>
      </c>
      <c r="AS5" s="63" t="s">
        <v>34</v>
      </c>
      <c r="AT5" s="67"/>
      <c r="AU5" s="63" t="s">
        <v>46</v>
      </c>
      <c r="AV5" s="63" t="s">
        <v>34</v>
      </c>
      <c r="AW5" s="67"/>
      <c r="AX5" s="63" t="s">
        <v>47</v>
      </c>
      <c r="AY5" s="63" t="s">
        <v>34</v>
      </c>
      <c r="AZ5" s="67"/>
      <c r="BA5" s="63" t="s">
        <v>48</v>
      </c>
      <c r="BB5" s="63" t="s">
        <v>34</v>
      </c>
      <c r="BC5" s="67"/>
      <c r="BD5" s="63" t="s">
        <v>49</v>
      </c>
      <c r="BE5" s="63" t="s">
        <v>34</v>
      </c>
      <c r="BF5" s="67"/>
      <c r="BG5" s="63" t="s">
        <v>50</v>
      </c>
      <c r="BH5" s="63" t="s">
        <v>34</v>
      </c>
      <c r="BI5" s="67"/>
      <c r="BJ5" s="63" t="s">
        <v>51</v>
      </c>
      <c r="BK5" s="63" t="s">
        <v>34</v>
      </c>
      <c r="BL5" s="67"/>
      <c r="BM5" s="63" t="s">
        <v>52</v>
      </c>
      <c r="BN5" s="63" t="s">
        <v>34</v>
      </c>
      <c r="BO5" s="67"/>
      <c r="BP5" s="63" t="s">
        <v>90</v>
      </c>
      <c r="BQ5" s="63" t="s">
        <v>34</v>
      </c>
      <c r="BR5" s="67"/>
      <c r="BS5" s="63" t="s">
        <v>53</v>
      </c>
      <c r="BT5" s="63" t="s">
        <v>34</v>
      </c>
      <c r="BU5" s="67"/>
      <c r="BV5" s="63" t="s">
        <v>91</v>
      </c>
      <c r="BW5" s="63" t="s">
        <v>34</v>
      </c>
      <c r="BX5" s="67"/>
      <c r="BY5" s="63" t="s">
        <v>92</v>
      </c>
      <c r="BZ5" s="63" t="s">
        <v>34</v>
      </c>
      <c r="CA5" s="67"/>
      <c r="CB5" s="63" t="s">
        <v>93</v>
      </c>
      <c r="CC5" s="63" t="s">
        <v>34</v>
      </c>
      <c r="CD5" s="67"/>
      <c r="CE5" s="63" t="s">
        <v>54</v>
      </c>
      <c r="CF5" s="63" t="s">
        <v>34</v>
      </c>
      <c r="CG5" s="67"/>
      <c r="CH5" s="63" t="s">
        <v>55</v>
      </c>
      <c r="CI5" s="63" t="s">
        <v>34</v>
      </c>
      <c r="CJ5" s="67"/>
      <c r="CK5" s="63" t="s">
        <v>81</v>
      </c>
      <c r="CL5" s="63" t="s">
        <v>34</v>
      </c>
      <c r="CM5" s="67"/>
      <c r="CN5" s="63" t="s">
        <v>103</v>
      </c>
      <c r="CO5" s="63" t="s">
        <v>34</v>
      </c>
      <c r="CP5" s="67"/>
      <c r="CQ5" s="63" t="s">
        <v>153</v>
      </c>
      <c r="CR5" s="63" t="s">
        <v>34</v>
      </c>
      <c r="CS5" s="67"/>
      <c r="CT5" s="63" t="s">
        <v>249</v>
      </c>
      <c r="CU5" s="67"/>
      <c r="CV5" s="65"/>
      <c r="CW5" s="63" t="s">
        <v>75</v>
      </c>
      <c r="CX5" s="63" t="s">
        <v>34</v>
      </c>
      <c r="CY5" s="68"/>
      <c r="CZ5" s="63" t="s">
        <v>76</v>
      </c>
      <c r="DA5" s="63" t="s">
        <v>34</v>
      </c>
      <c r="DB5" s="68"/>
      <c r="DC5" s="63" t="s">
        <v>77</v>
      </c>
      <c r="DD5" s="63" t="s">
        <v>34</v>
      </c>
      <c r="DE5" s="67"/>
      <c r="DF5" s="63" t="s">
        <v>9</v>
      </c>
      <c r="DG5" s="63" t="s">
        <v>34</v>
      </c>
      <c r="DH5" s="67"/>
      <c r="DI5" s="63" t="s">
        <v>78</v>
      </c>
      <c r="DJ5" s="63" t="s">
        <v>34</v>
      </c>
      <c r="DK5" s="67"/>
      <c r="DL5" s="63" t="s">
        <v>180</v>
      </c>
      <c r="DM5" s="63" t="s">
        <v>34</v>
      </c>
      <c r="DN5" s="67"/>
      <c r="DO5" s="63" t="s">
        <v>74</v>
      </c>
      <c r="DP5" s="63" t="s">
        <v>34</v>
      </c>
      <c r="DQ5" s="67"/>
      <c r="DR5" s="63" t="s">
        <v>57</v>
      </c>
      <c r="DS5" s="63" t="s">
        <v>34</v>
      </c>
      <c r="DT5" s="67"/>
      <c r="DU5" s="63" t="s">
        <v>58</v>
      </c>
      <c r="DV5" s="63" t="s">
        <v>34</v>
      </c>
      <c r="DW5" s="67"/>
      <c r="DX5" s="63" t="s">
        <v>59</v>
      </c>
      <c r="DY5" s="63" t="s">
        <v>34</v>
      </c>
      <c r="DZ5" s="67"/>
      <c r="EA5" s="63" t="s">
        <v>56</v>
      </c>
      <c r="EB5" s="63" t="s">
        <v>34</v>
      </c>
      <c r="EC5" s="67"/>
      <c r="ED5" s="63" t="s">
        <v>66</v>
      </c>
      <c r="EE5" s="63" t="s">
        <v>34</v>
      </c>
      <c r="EF5" s="66"/>
      <c r="EG5" s="63" t="s">
        <v>67</v>
      </c>
      <c r="EH5" s="63" t="s">
        <v>34</v>
      </c>
      <c r="EI5" s="66"/>
      <c r="EJ5" s="63" t="s">
        <v>68</v>
      </c>
      <c r="EK5" s="63" t="s">
        <v>34</v>
      </c>
      <c r="EL5" s="67"/>
      <c r="EM5" s="63" t="s">
        <v>69</v>
      </c>
      <c r="EN5" s="63" t="s">
        <v>34</v>
      </c>
      <c r="EO5" s="67"/>
      <c r="EP5" s="63" t="s">
        <v>112</v>
      </c>
      <c r="EQ5" s="63" t="s">
        <v>34</v>
      </c>
      <c r="ER5" s="67"/>
      <c r="ES5" s="63" t="s">
        <v>70</v>
      </c>
      <c r="ET5" s="63" t="s">
        <v>34</v>
      </c>
      <c r="EU5" s="67"/>
      <c r="EV5" s="63" t="s">
        <v>7</v>
      </c>
      <c r="EW5" s="63" t="s">
        <v>34</v>
      </c>
      <c r="EX5" s="67"/>
      <c r="EY5" s="63" t="s">
        <v>16</v>
      </c>
      <c r="EZ5" s="63" t="s">
        <v>34</v>
      </c>
      <c r="FA5" s="67"/>
      <c r="FB5" s="63" t="s">
        <v>86</v>
      </c>
      <c r="FC5" s="63" t="s">
        <v>34</v>
      </c>
      <c r="FD5" s="67"/>
      <c r="FE5" s="63" t="s">
        <v>246</v>
      </c>
      <c r="FF5" s="67"/>
      <c r="FG5" s="67"/>
      <c r="FH5" s="63" t="s">
        <v>10</v>
      </c>
      <c r="FI5" s="63" t="s">
        <v>34</v>
      </c>
      <c r="FJ5" s="67"/>
      <c r="FK5" s="63" t="s">
        <v>11</v>
      </c>
      <c r="FL5" s="63" t="s">
        <v>34</v>
      </c>
      <c r="FM5" s="67"/>
      <c r="FN5" s="63" t="s">
        <v>21</v>
      </c>
      <c r="FO5" s="63" t="s">
        <v>34</v>
      </c>
      <c r="FP5" s="67"/>
      <c r="FQ5" s="63" t="s">
        <v>162</v>
      </c>
      <c r="FR5" s="63" t="s">
        <v>34</v>
      </c>
      <c r="FS5" s="67"/>
      <c r="FT5" s="63" t="s">
        <v>247</v>
      </c>
      <c r="FU5" s="67"/>
      <c r="FV5" s="66"/>
      <c r="FW5" s="63" t="s">
        <v>131</v>
      </c>
      <c r="FX5" s="63" t="s">
        <v>34</v>
      </c>
      <c r="FY5" s="66"/>
      <c r="FZ5" s="64" t="s">
        <v>83</v>
      </c>
      <c r="GA5" s="64" t="s">
        <v>34</v>
      </c>
      <c r="GB5" s="67"/>
      <c r="GC5" s="63" t="s">
        <v>170</v>
      </c>
      <c r="GD5" s="63" t="s">
        <v>34</v>
      </c>
      <c r="GE5" s="67"/>
      <c r="GF5" s="63" t="s">
        <v>171</v>
      </c>
      <c r="GG5" s="63" t="s">
        <v>34</v>
      </c>
      <c r="GH5" s="67"/>
      <c r="GI5" s="63" t="s">
        <v>172</v>
      </c>
      <c r="GJ5" s="63" t="s">
        <v>34</v>
      </c>
      <c r="GK5" s="67"/>
      <c r="GL5" s="63" t="s">
        <v>250</v>
      </c>
      <c r="GM5" s="67"/>
      <c r="GN5" s="63"/>
      <c r="GO5" s="55"/>
      <c r="GP5" s="66"/>
      <c r="GQ5" s="66"/>
      <c r="GR5" s="59"/>
    </row>
    <row r="6" spans="1:200" ht="42" x14ac:dyDescent="0.3">
      <c r="A6" s="55"/>
      <c r="B6" s="130" t="s">
        <v>150</v>
      </c>
      <c r="C6" s="144" t="s">
        <v>222</v>
      </c>
      <c r="D6" s="11" t="s">
        <v>151</v>
      </c>
      <c r="E6" s="42">
        <v>1</v>
      </c>
      <c r="F6" s="135">
        <v>2002</v>
      </c>
      <c r="G6" s="62"/>
      <c r="H6" s="1"/>
      <c r="I6" s="24"/>
      <c r="J6" s="68"/>
      <c r="K6" s="24">
        <f>(446286*Q3)*(105.9/79.8)</f>
        <v>775849.75556390989</v>
      </c>
      <c r="L6" s="24">
        <f>(85325*Q3)*(105.9/79.8)</f>
        <v>148333.9840225564</v>
      </c>
      <c r="M6" s="68"/>
      <c r="N6" s="1"/>
      <c r="O6" s="1"/>
      <c r="P6" s="68"/>
      <c r="Q6" s="69"/>
      <c r="R6" s="69"/>
      <c r="S6" s="68"/>
      <c r="T6" s="24"/>
      <c r="U6" s="24"/>
      <c r="V6" s="68"/>
      <c r="W6" s="32"/>
      <c r="X6" s="32"/>
      <c r="Y6" s="68"/>
      <c r="Z6" s="24"/>
      <c r="AA6" s="50"/>
      <c r="AB6" s="66"/>
      <c r="AC6" s="50"/>
      <c r="AD6" s="50"/>
      <c r="AE6" s="66"/>
      <c r="AF6" s="50"/>
      <c r="AG6" s="50"/>
      <c r="AH6" s="66"/>
      <c r="AI6" s="50"/>
      <c r="AJ6" s="50"/>
      <c r="AK6" s="66"/>
      <c r="AL6" s="50"/>
      <c r="AM6" s="50"/>
      <c r="AN6" s="66"/>
      <c r="AO6" s="49"/>
      <c r="AP6" s="49"/>
      <c r="AQ6" s="66"/>
      <c r="AR6" s="50"/>
      <c r="AS6" s="50"/>
      <c r="AT6" s="66"/>
      <c r="AU6" s="50"/>
      <c r="AV6" s="50"/>
      <c r="AW6" s="66"/>
      <c r="AX6" s="50"/>
      <c r="AY6" s="50"/>
      <c r="AZ6" s="66"/>
      <c r="BA6" s="50"/>
      <c r="BB6" s="50"/>
      <c r="BC6" s="66"/>
      <c r="BD6" s="24"/>
      <c r="BE6" s="24"/>
      <c r="BF6" s="66"/>
      <c r="BG6" s="50"/>
      <c r="BH6" s="50"/>
      <c r="BI6" s="66"/>
      <c r="BJ6" s="50"/>
      <c r="BK6" s="50"/>
      <c r="BL6" s="66"/>
      <c r="BM6" s="50"/>
      <c r="BN6" s="50"/>
      <c r="BO6" s="66"/>
      <c r="BP6" s="50"/>
      <c r="BQ6" s="50"/>
      <c r="BR6" s="66"/>
      <c r="BS6" s="50"/>
      <c r="BT6" s="50"/>
      <c r="BU6" s="66"/>
      <c r="BV6" s="114"/>
      <c r="BW6" s="114"/>
      <c r="BX6" s="66"/>
      <c r="BY6" s="114"/>
      <c r="BZ6" s="114"/>
      <c r="CA6" s="66"/>
      <c r="CB6" s="114"/>
      <c r="CC6" s="114"/>
      <c r="CD6" s="66"/>
      <c r="CE6" s="50"/>
      <c r="CF6" s="50"/>
      <c r="CG6" s="66"/>
      <c r="CH6" s="69">
        <f>((647*Q3)*(105.9/79.8))+((5421*Q3)*(105.9/79.8))</f>
        <v>10548.967067669173</v>
      </c>
      <c r="CI6" s="69" t="s">
        <v>79</v>
      </c>
      <c r="CJ6" s="66"/>
      <c r="CK6" s="49"/>
      <c r="CL6" s="49"/>
      <c r="CM6" s="66"/>
      <c r="CN6" s="24">
        <f>(9196*Q3)*(105.9/79.8)</f>
        <v>15986.865714285716</v>
      </c>
      <c r="CO6" s="32">
        <f>(4110*Q3)*(105.9/79.8)</f>
        <v>7145.0650375939858</v>
      </c>
      <c r="CP6" s="68"/>
      <c r="CQ6" s="24">
        <f>(744*Q3)*(105.9/79.8)</f>
        <v>1293.4132330827067</v>
      </c>
      <c r="CR6" s="24">
        <f>(906*Q3)*(105.9/79.8)</f>
        <v>1575.0435338345867</v>
      </c>
      <c r="CS6" s="68"/>
      <c r="CT6" s="69"/>
      <c r="CU6" s="68"/>
      <c r="CV6" s="62"/>
      <c r="CW6" s="49"/>
      <c r="CX6" s="49"/>
      <c r="CY6" s="66"/>
      <c r="CZ6" s="49"/>
      <c r="DA6" s="49"/>
      <c r="DB6" s="66"/>
      <c r="DC6" s="32"/>
      <c r="DD6" s="32"/>
      <c r="DE6" s="66"/>
      <c r="DF6" s="49"/>
      <c r="DG6" s="49"/>
      <c r="DH6" s="66"/>
      <c r="DI6" s="114"/>
      <c r="DJ6" s="114"/>
      <c r="DK6" s="66"/>
      <c r="DL6" s="52"/>
      <c r="DM6" s="52"/>
      <c r="DN6" s="66"/>
      <c r="DO6" s="69"/>
      <c r="DP6" s="69"/>
      <c r="DQ6" s="68"/>
      <c r="DR6" s="24"/>
      <c r="DS6" s="24"/>
      <c r="DT6" s="68"/>
      <c r="DU6" s="24"/>
      <c r="DV6" s="24"/>
      <c r="DW6" s="68"/>
      <c r="DX6" s="24"/>
      <c r="DY6" s="24"/>
      <c r="DZ6" s="68"/>
      <c r="EA6" s="69">
        <f>(3830*Q3)*(105.9/79.8)</f>
        <v>6658.2966165413536</v>
      </c>
      <c r="EB6" s="69">
        <f>(5791*Q3)*(105.9/79.8)</f>
        <v>10067.414022556392</v>
      </c>
      <c r="EC6" s="68"/>
      <c r="ED6" s="24"/>
      <c r="EE6" s="24"/>
      <c r="EF6" s="68"/>
      <c r="EG6" s="24"/>
      <c r="EH6" s="24"/>
      <c r="EI6" s="68"/>
      <c r="EJ6" s="24"/>
      <c r="EK6" s="24"/>
      <c r="EL6" s="68"/>
      <c r="EM6" s="24"/>
      <c r="EN6" s="24"/>
      <c r="EO6" s="68"/>
      <c r="EP6" s="32"/>
      <c r="EQ6" s="32"/>
      <c r="ER6" s="68"/>
      <c r="ES6" s="69"/>
      <c r="ET6" s="69"/>
      <c r="EU6" s="68"/>
      <c r="EV6" s="32"/>
      <c r="EW6" s="32"/>
      <c r="EX6" s="68"/>
      <c r="EY6" s="32"/>
      <c r="EZ6" s="32"/>
      <c r="FA6" s="68"/>
      <c r="FB6" s="24"/>
      <c r="FC6" s="24"/>
      <c r="FD6" s="68"/>
      <c r="FE6" s="69"/>
      <c r="FF6" s="68"/>
      <c r="FG6" s="68"/>
      <c r="FH6" s="32"/>
      <c r="FI6" s="32"/>
      <c r="FJ6" s="68"/>
      <c r="FK6" s="32">
        <f>(15212*Q3)*(27040/17680)</f>
        <v>30477.689411764706</v>
      </c>
      <c r="FL6" s="32">
        <f>(19418*Q3)*(27040/17680)</f>
        <v>38904.534117647061</v>
      </c>
      <c r="FM6" s="68"/>
      <c r="FN6" s="32">
        <f>((10093-9196)*Q3)*(105.9/79.8)</f>
        <v>1559.3974060150376</v>
      </c>
      <c r="FO6" s="32" t="s">
        <v>79</v>
      </c>
      <c r="FP6" s="68"/>
      <c r="FQ6" s="32"/>
      <c r="FR6" s="32"/>
      <c r="FS6" s="68"/>
      <c r="FT6" s="69"/>
      <c r="FU6" s="68"/>
      <c r="FV6" s="66"/>
      <c r="FW6" s="50"/>
      <c r="FX6" s="50"/>
      <c r="FY6" s="66"/>
      <c r="FZ6" s="24"/>
      <c r="GA6" s="24"/>
      <c r="GB6" s="66"/>
      <c r="GC6" s="24"/>
      <c r="GD6" s="24"/>
      <c r="GE6" s="66"/>
      <c r="GF6" s="24"/>
      <c r="GG6" s="24"/>
      <c r="GH6" s="66"/>
      <c r="GI6" s="24"/>
      <c r="GJ6" s="24"/>
      <c r="GK6" s="68"/>
      <c r="GL6" s="69"/>
      <c r="GM6" s="68"/>
      <c r="GN6" s="65"/>
      <c r="GO6" s="67"/>
      <c r="GP6" s="66"/>
      <c r="GQ6" s="66"/>
      <c r="GR6" s="62"/>
    </row>
    <row r="7" spans="1:200" ht="42" x14ac:dyDescent="0.3">
      <c r="A7" s="55"/>
      <c r="B7" s="137"/>
      <c r="C7" s="136"/>
      <c r="D7" s="11" t="s">
        <v>152</v>
      </c>
      <c r="E7" s="42">
        <v>1</v>
      </c>
      <c r="F7" s="136"/>
      <c r="G7" s="62"/>
      <c r="H7" s="24">
        <f>(603*Q3)*(105.9/79.8)</f>
        <v>1048.2905639097746</v>
      </c>
      <c r="I7" s="24">
        <f>(307*Q3)*(105.9/79.8)</f>
        <v>533.70680451127828</v>
      </c>
      <c r="J7" s="68"/>
      <c r="K7" s="24">
        <f>(17913*Q3)*(105.9/79.8)</f>
        <v>31141.009736842108</v>
      </c>
      <c r="L7" s="24">
        <f>(35724*Q3)*(105.9/79.8)</f>
        <v>62104.696691729332</v>
      </c>
      <c r="M7" s="68"/>
      <c r="N7" s="24">
        <f>(25*Q3)*(105.9/79.8)</f>
        <v>43.461466165413533</v>
      </c>
      <c r="O7" s="24">
        <f>(53*Q3)*(105.9/79.8)</f>
        <v>92.138308270676703</v>
      </c>
      <c r="P7" s="68"/>
      <c r="Q7" s="69">
        <f>(18541*Q3)*(105.9/79.8)</f>
        <v>32232.761766917298</v>
      </c>
      <c r="R7" s="69" t="s">
        <v>79</v>
      </c>
      <c r="S7" s="68"/>
      <c r="T7" s="24"/>
      <c r="U7" s="24"/>
      <c r="V7" s="68"/>
      <c r="W7" s="32"/>
      <c r="X7" s="32"/>
      <c r="Y7" s="68"/>
      <c r="Z7" s="24"/>
      <c r="AA7" s="50"/>
      <c r="AB7" s="66"/>
      <c r="AC7" s="50"/>
      <c r="AD7" s="50"/>
      <c r="AE7" s="66"/>
      <c r="AF7" s="50"/>
      <c r="AG7" s="50"/>
      <c r="AH7" s="66"/>
      <c r="AI7" s="50"/>
      <c r="AJ7" s="50"/>
      <c r="AK7" s="66"/>
      <c r="AL7" s="50"/>
      <c r="AM7" s="50"/>
      <c r="AN7" s="66"/>
      <c r="AO7" s="49"/>
      <c r="AP7" s="49"/>
      <c r="AQ7" s="66"/>
      <c r="AR7" s="50"/>
      <c r="AS7" s="50"/>
      <c r="AT7" s="66"/>
      <c r="AU7" s="50"/>
      <c r="AV7" s="50"/>
      <c r="AW7" s="66"/>
      <c r="AX7" s="50"/>
      <c r="AY7" s="50"/>
      <c r="AZ7" s="66"/>
      <c r="BA7" s="50"/>
      <c r="BB7" s="50"/>
      <c r="BC7" s="66"/>
      <c r="BD7" s="50"/>
      <c r="BE7" s="50"/>
      <c r="BF7" s="66"/>
      <c r="BG7" s="50"/>
      <c r="BH7" s="50"/>
      <c r="BI7" s="66"/>
      <c r="BJ7" s="50"/>
      <c r="BK7" s="50"/>
      <c r="BL7" s="66"/>
      <c r="BM7" s="50"/>
      <c r="BN7" s="50"/>
      <c r="BO7" s="66"/>
      <c r="BP7" s="50"/>
      <c r="BQ7" s="50"/>
      <c r="BR7" s="66"/>
      <c r="BS7" s="50"/>
      <c r="BT7" s="50"/>
      <c r="BU7" s="66"/>
      <c r="BV7" s="114"/>
      <c r="BW7" s="114"/>
      <c r="BX7" s="66"/>
      <c r="BY7" s="114"/>
      <c r="BZ7" s="114"/>
      <c r="CA7" s="66"/>
      <c r="CB7" s="114"/>
      <c r="CC7" s="114"/>
      <c r="CD7" s="66"/>
      <c r="CE7" s="50"/>
      <c r="CF7" s="50"/>
      <c r="CG7" s="66"/>
      <c r="CH7" s="69">
        <f>((2520*Q3)*(105.9/79.8))+((866*Q3)*(105.9/79.8))+((56*Q3)*(105.9/79.8))</f>
        <v>5983.7746616541353</v>
      </c>
      <c r="CI7" s="69" t="s">
        <v>79</v>
      </c>
      <c r="CJ7" s="66"/>
      <c r="CK7" s="32">
        <f>(2007*Q3)*(105.9/79.8)</f>
        <v>3489.086503759399</v>
      </c>
      <c r="CL7" s="32">
        <f>(2741*Q3)*(105.9/79.8)</f>
        <v>4765.1151503759402</v>
      </c>
      <c r="CM7" s="66"/>
      <c r="CN7" s="32">
        <f>((6426*Q3)*(105.9/79.8))+((8133*Q3)*(105.9/79.8))</f>
        <v>25310.219436090225</v>
      </c>
      <c r="CO7" s="32" t="s">
        <v>79</v>
      </c>
      <c r="CP7" s="68"/>
      <c r="CQ7" s="32">
        <f>(459*Q3)*(105.9/79.8)</f>
        <v>797.95251879699265</v>
      </c>
      <c r="CR7" s="32">
        <f>(1030*Q3)*(105.9/79.8)</f>
        <v>1790.6124060150375</v>
      </c>
      <c r="CS7" s="68"/>
      <c r="CT7" s="69"/>
      <c r="CU7" s="68"/>
      <c r="CV7" s="62"/>
      <c r="CW7" s="49"/>
      <c r="CX7" s="49"/>
      <c r="CY7" s="66"/>
      <c r="CZ7" s="49"/>
      <c r="DA7" s="49"/>
      <c r="DB7" s="66"/>
      <c r="DC7" s="32"/>
      <c r="DD7" s="32"/>
      <c r="DE7" s="66"/>
      <c r="DF7" s="49"/>
      <c r="DG7" s="49"/>
      <c r="DH7" s="66"/>
      <c r="DI7" s="114"/>
      <c r="DJ7" s="114"/>
      <c r="DK7" s="66"/>
      <c r="DL7" s="52"/>
      <c r="DM7" s="52"/>
      <c r="DN7" s="66"/>
      <c r="DO7" s="69"/>
      <c r="DP7" s="69"/>
      <c r="DQ7" s="68"/>
      <c r="DR7" s="24"/>
      <c r="DS7" s="24"/>
      <c r="DT7" s="68"/>
      <c r="DU7" s="24"/>
      <c r="DV7" s="24"/>
      <c r="DW7" s="68"/>
      <c r="DX7" s="24"/>
      <c r="DY7" s="24"/>
      <c r="DZ7" s="68"/>
      <c r="EA7" s="69">
        <f>(7143*Q3)*(105.9/79.8)</f>
        <v>12417.810112781955</v>
      </c>
      <c r="EB7" s="69">
        <f>(6465*Q3)*(105.9/79.8)</f>
        <v>11239.13515037594</v>
      </c>
      <c r="EC7" s="68"/>
      <c r="ED7" s="24"/>
      <c r="EE7" s="24"/>
      <c r="EF7" s="68"/>
      <c r="EG7" s="24"/>
      <c r="EH7" s="24"/>
      <c r="EI7" s="68"/>
      <c r="EJ7" s="24"/>
      <c r="EK7" s="24"/>
      <c r="EL7" s="68"/>
      <c r="EM7" s="24"/>
      <c r="EN7" s="24"/>
      <c r="EO7" s="68"/>
      <c r="EP7" s="32"/>
      <c r="EQ7" s="32"/>
      <c r="ER7" s="68"/>
      <c r="ES7" s="69"/>
      <c r="ET7" s="69"/>
      <c r="EU7" s="68"/>
      <c r="EV7" s="32"/>
      <c r="EW7" s="32"/>
      <c r="EX7" s="68"/>
      <c r="EY7" s="32"/>
      <c r="EZ7" s="32"/>
      <c r="FA7" s="68"/>
      <c r="FB7" s="24"/>
      <c r="FC7" s="24"/>
      <c r="FD7" s="68"/>
      <c r="FE7" s="69"/>
      <c r="FF7" s="68"/>
      <c r="FG7" s="68"/>
      <c r="FH7" s="32"/>
      <c r="FI7" s="32"/>
      <c r="FJ7" s="68"/>
      <c r="FK7" s="32">
        <f>(57407*Q3)*(27040/17680)</f>
        <v>115016.61294117646</v>
      </c>
      <c r="FL7" s="32">
        <f>(63710*Q3)*(27040/17680)</f>
        <v>127644.85882352942</v>
      </c>
      <c r="FM7" s="68"/>
      <c r="FN7" s="32">
        <f>((7220-6426)*Q3)*(105.9/79.8)</f>
        <v>1380.336165413534</v>
      </c>
      <c r="FO7" s="32" t="s">
        <v>79</v>
      </c>
      <c r="FP7" s="68"/>
      <c r="FQ7" s="32"/>
      <c r="FR7" s="32"/>
      <c r="FS7" s="68"/>
      <c r="FT7" s="69"/>
      <c r="FU7" s="68"/>
      <c r="FV7" s="66"/>
      <c r="FW7" s="50"/>
      <c r="FX7" s="50"/>
      <c r="FY7" s="66"/>
      <c r="FZ7" s="24"/>
      <c r="GA7" s="24"/>
      <c r="GB7" s="66"/>
      <c r="GC7" s="24"/>
      <c r="GD7" s="24"/>
      <c r="GE7" s="66"/>
      <c r="GF7" s="24"/>
      <c r="GG7" s="24"/>
      <c r="GH7" s="67"/>
      <c r="GI7" s="24"/>
      <c r="GJ7" s="24"/>
      <c r="GK7" s="68"/>
      <c r="GL7" s="69"/>
      <c r="GM7" s="68"/>
      <c r="GN7" s="65"/>
      <c r="GO7" s="68"/>
      <c r="GP7" s="66"/>
      <c r="GQ7" s="66"/>
      <c r="GR7" s="62"/>
    </row>
    <row r="8" spans="1:200" ht="14.5" x14ac:dyDescent="0.3">
      <c r="A8" s="55"/>
      <c r="B8" s="74"/>
      <c r="C8" s="74"/>
      <c r="D8" s="79"/>
      <c r="E8" s="73"/>
      <c r="F8" s="74"/>
      <c r="G8" s="62"/>
      <c r="H8" s="65"/>
      <c r="I8" s="65"/>
      <c r="J8" s="67"/>
      <c r="K8" s="65"/>
      <c r="L8" s="65"/>
      <c r="M8" s="67"/>
      <c r="N8" s="65"/>
      <c r="O8" s="65"/>
      <c r="P8" s="67"/>
      <c r="Q8" s="65"/>
      <c r="R8" s="65"/>
      <c r="S8" s="67"/>
      <c r="T8" s="65"/>
      <c r="U8" s="65"/>
      <c r="V8" s="67"/>
      <c r="W8" s="65"/>
      <c r="X8" s="65"/>
      <c r="Y8" s="67"/>
      <c r="Z8" s="65"/>
      <c r="AA8" s="62"/>
      <c r="AB8" s="67"/>
      <c r="AC8" s="62"/>
      <c r="AD8" s="62"/>
      <c r="AE8" s="67"/>
      <c r="AF8" s="62"/>
      <c r="AG8" s="62"/>
      <c r="AH8" s="67"/>
      <c r="AI8" s="62"/>
      <c r="AJ8" s="62"/>
      <c r="AK8" s="67"/>
      <c r="AL8" s="62"/>
      <c r="AM8" s="62"/>
      <c r="AN8" s="67"/>
      <c r="AO8" s="62"/>
      <c r="AP8" s="62"/>
      <c r="AQ8" s="67"/>
      <c r="AR8" s="62"/>
      <c r="AS8" s="62"/>
      <c r="AT8" s="67"/>
      <c r="AU8" s="62"/>
      <c r="AV8" s="62"/>
      <c r="AW8" s="67"/>
      <c r="AX8" s="62"/>
      <c r="AY8" s="62"/>
      <c r="AZ8" s="67"/>
      <c r="BA8" s="62"/>
      <c r="BB8" s="62"/>
      <c r="BC8" s="67"/>
      <c r="BD8" s="62"/>
      <c r="BE8" s="62"/>
      <c r="BF8" s="67"/>
      <c r="BG8" s="62"/>
      <c r="BH8" s="62"/>
      <c r="BI8" s="67"/>
      <c r="BJ8" s="62"/>
      <c r="BK8" s="62"/>
      <c r="BL8" s="67"/>
      <c r="BM8" s="62"/>
      <c r="BN8" s="62"/>
      <c r="BO8" s="67"/>
      <c r="BP8" s="62"/>
      <c r="BQ8" s="62"/>
      <c r="BR8" s="67"/>
      <c r="BS8" s="62"/>
      <c r="BT8" s="62"/>
      <c r="BU8" s="67"/>
      <c r="BV8" s="62"/>
      <c r="BW8" s="62"/>
      <c r="BX8" s="67"/>
      <c r="BY8" s="62"/>
      <c r="BZ8" s="62"/>
      <c r="CA8" s="67"/>
      <c r="CB8" s="62"/>
      <c r="CC8" s="62"/>
      <c r="CD8" s="67"/>
      <c r="CE8" s="62"/>
      <c r="CF8" s="62"/>
      <c r="CG8" s="67"/>
      <c r="CH8" s="65"/>
      <c r="CI8" s="65"/>
      <c r="CJ8" s="67"/>
      <c r="CK8" s="65"/>
      <c r="CL8" s="65"/>
      <c r="CM8" s="67"/>
      <c r="CN8" s="65"/>
      <c r="CO8" s="65"/>
      <c r="CP8" s="67"/>
      <c r="CQ8" s="65"/>
      <c r="CR8" s="65"/>
      <c r="CS8" s="68"/>
      <c r="CT8" s="65"/>
      <c r="CU8" s="68"/>
      <c r="CV8" s="62"/>
      <c r="CW8" s="62"/>
      <c r="CX8" s="62"/>
      <c r="CY8" s="67"/>
      <c r="CZ8" s="62"/>
      <c r="DA8" s="62"/>
      <c r="DB8" s="67"/>
      <c r="DC8" s="65"/>
      <c r="DD8" s="65"/>
      <c r="DE8" s="67"/>
      <c r="DF8" s="62"/>
      <c r="DG8" s="62"/>
      <c r="DH8" s="67"/>
      <c r="DI8" s="62"/>
      <c r="DJ8" s="62"/>
      <c r="DK8" s="67"/>
      <c r="DL8" s="62"/>
      <c r="DM8" s="62"/>
      <c r="DN8" s="67"/>
      <c r="DO8" s="65"/>
      <c r="DP8" s="65"/>
      <c r="DQ8" s="67"/>
      <c r="DR8" s="65"/>
      <c r="DS8" s="65"/>
      <c r="DT8" s="67"/>
      <c r="DU8" s="65"/>
      <c r="DV8" s="65"/>
      <c r="DW8" s="67"/>
      <c r="DX8" s="65"/>
      <c r="DY8" s="65"/>
      <c r="DZ8" s="67"/>
      <c r="EA8" s="65"/>
      <c r="EB8" s="65"/>
      <c r="EC8" s="67"/>
      <c r="ED8" s="65"/>
      <c r="EE8" s="65"/>
      <c r="EF8" s="67"/>
      <c r="EG8" s="65"/>
      <c r="EH8" s="65"/>
      <c r="EI8" s="67"/>
      <c r="EJ8" s="65"/>
      <c r="EK8" s="65"/>
      <c r="EL8" s="67"/>
      <c r="EM8" s="65"/>
      <c r="EN8" s="65"/>
      <c r="EO8" s="67"/>
      <c r="EP8" s="65"/>
      <c r="EQ8" s="65"/>
      <c r="ER8" s="67"/>
      <c r="ES8" s="65"/>
      <c r="ET8" s="65"/>
      <c r="EU8" s="67"/>
      <c r="EV8" s="65"/>
      <c r="EW8" s="65"/>
      <c r="EX8" s="67"/>
      <c r="EY8" s="65"/>
      <c r="EZ8" s="65"/>
      <c r="FA8" s="67"/>
      <c r="FB8" s="65"/>
      <c r="FC8" s="65"/>
      <c r="FD8" s="68"/>
      <c r="FE8" s="65"/>
      <c r="FF8" s="68"/>
      <c r="FG8" s="67"/>
      <c r="FH8" s="65"/>
      <c r="FI8" s="65"/>
      <c r="FJ8" s="67"/>
      <c r="FK8" s="65"/>
      <c r="FL8" s="65"/>
      <c r="FM8" s="67"/>
      <c r="FN8" s="65"/>
      <c r="FO8" s="65"/>
      <c r="FP8" s="67"/>
      <c r="FQ8" s="65"/>
      <c r="FR8" s="65"/>
      <c r="FS8" s="68"/>
      <c r="FT8" s="65"/>
      <c r="FU8" s="68"/>
      <c r="FV8" s="67"/>
      <c r="FW8" s="62"/>
      <c r="FX8" s="62"/>
      <c r="FY8" s="67"/>
      <c r="FZ8" s="65"/>
      <c r="GA8" s="65"/>
      <c r="GB8" s="67"/>
      <c r="GC8" s="65"/>
      <c r="GD8" s="65"/>
      <c r="GE8" s="67"/>
      <c r="GF8" s="65"/>
      <c r="GG8" s="65"/>
      <c r="GH8" s="67"/>
      <c r="GI8" s="65"/>
      <c r="GJ8" s="65"/>
      <c r="GK8" s="68"/>
      <c r="GL8" s="65"/>
      <c r="GM8" s="68"/>
      <c r="GN8" s="65"/>
      <c r="GO8" s="68"/>
      <c r="GP8" s="66"/>
      <c r="GQ8" s="66"/>
      <c r="GR8" s="62"/>
    </row>
    <row r="9" spans="1:200" ht="42" x14ac:dyDescent="0.3">
      <c r="A9" s="55"/>
      <c r="B9" s="99" t="s">
        <v>197</v>
      </c>
      <c r="C9" s="93" t="s">
        <v>223</v>
      </c>
      <c r="D9" s="11" t="s">
        <v>196</v>
      </c>
      <c r="E9" s="42">
        <v>1</v>
      </c>
      <c r="F9" s="85">
        <v>2005</v>
      </c>
      <c r="G9" s="62"/>
      <c r="H9" s="24">
        <f>(10762*T3)*(106.3/82.9)</f>
        <v>13799.765983112182</v>
      </c>
      <c r="I9" s="24" t="s">
        <v>79</v>
      </c>
      <c r="J9" s="68"/>
      <c r="K9" s="24">
        <f>(2662*T3)*(106.3/82.9)</f>
        <v>3413.3968636911941</v>
      </c>
      <c r="L9" s="24" t="s">
        <v>79</v>
      </c>
      <c r="M9" s="68"/>
      <c r="N9" s="24"/>
      <c r="O9" s="24"/>
      <c r="P9" s="68"/>
      <c r="Q9" s="69"/>
      <c r="R9" s="69"/>
      <c r="S9" s="68"/>
      <c r="T9" s="24"/>
      <c r="U9" s="24"/>
      <c r="V9" s="68"/>
      <c r="W9" s="32"/>
      <c r="X9" s="32"/>
      <c r="Y9" s="68"/>
      <c r="Z9" s="24"/>
      <c r="AA9" s="85"/>
      <c r="AB9" s="66"/>
      <c r="AC9" s="85"/>
      <c r="AD9" s="85"/>
      <c r="AE9" s="66"/>
      <c r="AF9" s="85"/>
      <c r="AG9" s="85"/>
      <c r="AH9" s="66"/>
      <c r="AI9" s="85"/>
      <c r="AJ9" s="85"/>
      <c r="AK9" s="66"/>
      <c r="AL9" s="85"/>
      <c r="AM9" s="85"/>
      <c r="AN9" s="66"/>
      <c r="AO9" s="86"/>
      <c r="AP9" s="86"/>
      <c r="AQ9" s="66"/>
      <c r="AR9" s="85"/>
      <c r="AS9" s="85"/>
      <c r="AT9" s="66"/>
      <c r="AU9" s="85"/>
      <c r="AV9" s="85"/>
      <c r="AW9" s="66"/>
      <c r="AX9" s="85"/>
      <c r="AY9" s="85"/>
      <c r="AZ9" s="66"/>
      <c r="BA9" s="85"/>
      <c r="BB9" s="85"/>
      <c r="BC9" s="66"/>
      <c r="BD9" s="85"/>
      <c r="BE9" s="85"/>
      <c r="BF9" s="66"/>
      <c r="BG9" s="85"/>
      <c r="BH9" s="85"/>
      <c r="BI9" s="66"/>
      <c r="BJ9" s="85"/>
      <c r="BK9" s="85"/>
      <c r="BL9" s="66"/>
      <c r="BM9" s="85"/>
      <c r="BN9" s="85"/>
      <c r="BO9" s="66"/>
      <c r="BP9" s="85"/>
      <c r="BQ9" s="85"/>
      <c r="BR9" s="66"/>
      <c r="BS9" s="85"/>
      <c r="BT9" s="85"/>
      <c r="BU9" s="66"/>
      <c r="BV9" s="114"/>
      <c r="BW9" s="114"/>
      <c r="BX9" s="66"/>
      <c r="BY9" s="114"/>
      <c r="BZ9" s="114"/>
      <c r="CA9" s="66"/>
      <c r="CB9" s="114"/>
      <c r="CC9" s="114"/>
      <c r="CD9" s="66"/>
      <c r="CE9" s="85"/>
      <c r="CF9" s="85"/>
      <c r="CG9" s="66"/>
      <c r="CH9" s="69"/>
      <c r="CI9" s="69"/>
      <c r="CJ9" s="66"/>
      <c r="CK9" s="32">
        <f>(1624*T3)*(106.3/82.9)</f>
        <v>2082.402895054282</v>
      </c>
      <c r="CL9" s="32" t="s">
        <v>79</v>
      </c>
      <c r="CM9" s="66"/>
      <c r="CN9" s="32"/>
      <c r="CO9" s="32"/>
      <c r="CP9" s="68"/>
      <c r="CQ9" s="32"/>
      <c r="CR9" s="32"/>
      <c r="CS9" s="68"/>
      <c r="CT9" s="69"/>
      <c r="CU9" s="68"/>
      <c r="CV9" s="62"/>
      <c r="CW9" s="86"/>
      <c r="CX9" s="86"/>
      <c r="CY9" s="66"/>
      <c r="CZ9" s="86"/>
      <c r="DA9" s="86"/>
      <c r="DB9" s="66"/>
      <c r="DC9" s="32"/>
      <c r="DD9" s="32"/>
      <c r="DE9" s="66"/>
      <c r="DF9" s="86"/>
      <c r="DG9" s="86"/>
      <c r="DH9" s="66"/>
      <c r="DI9" s="114"/>
      <c r="DJ9" s="114"/>
      <c r="DK9" s="66"/>
      <c r="DL9" s="86"/>
      <c r="DM9" s="86"/>
      <c r="DN9" s="66"/>
      <c r="DO9" s="69"/>
      <c r="DP9" s="69"/>
      <c r="DQ9" s="68"/>
      <c r="DR9" s="24"/>
      <c r="DS9" s="24"/>
      <c r="DT9" s="68"/>
      <c r="DU9" s="24"/>
      <c r="DV9" s="24"/>
      <c r="DW9" s="68"/>
      <c r="DX9" s="24"/>
      <c r="DY9" s="24"/>
      <c r="DZ9" s="68"/>
      <c r="EA9" s="69"/>
      <c r="EB9" s="69"/>
      <c r="EC9" s="68"/>
      <c r="ED9" s="24"/>
      <c r="EE9" s="24"/>
      <c r="EF9" s="68"/>
      <c r="EG9" s="24"/>
      <c r="EH9" s="24"/>
      <c r="EI9" s="68"/>
      <c r="EJ9" s="24"/>
      <c r="EK9" s="24"/>
      <c r="EL9" s="68"/>
      <c r="EM9" s="24"/>
      <c r="EN9" s="24"/>
      <c r="EO9" s="68"/>
      <c r="EP9" s="32"/>
      <c r="EQ9" s="32"/>
      <c r="ER9" s="68"/>
      <c r="ES9" s="69"/>
      <c r="ET9" s="69"/>
      <c r="EU9" s="68"/>
      <c r="EV9" s="32"/>
      <c r="EW9" s="32"/>
      <c r="EX9" s="68"/>
      <c r="EY9" s="32"/>
      <c r="EZ9" s="32"/>
      <c r="FA9" s="68"/>
      <c r="FB9" s="24"/>
      <c r="FC9" s="24"/>
      <c r="FD9" s="68"/>
      <c r="FE9" s="69"/>
      <c r="FF9" s="68"/>
      <c r="FG9" s="68"/>
      <c r="FH9" s="32"/>
      <c r="FI9" s="32"/>
      <c r="FJ9" s="68"/>
      <c r="FK9" s="32"/>
      <c r="FL9" s="32"/>
      <c r="FM9" s="68"/>
      <c r="FN9" s="32"/>
      <c r="FO9" s="32"/>
      <c r="FP9" s="68"/>
      <c r="FQ9" s="32"/>
      <c r="FR9" s="32"/>
      <c r="FS9" s="68"/>
      <c r="FT9" s="69"/>
      <c r="FU9" s="68"/>
      <c r="FV9" s="66"/>
      <c r="FW9" s="85"/>
      <c r="FX9" s="85"/>
      <c r="FY9" s="66"/>
      <c r="FZ9" s="24"/>
      <c r="GA9" s="24"/>
      <c r="GB9" s="66"/>
      <c r="GC9" s="24"/>
      <c r="GD9" s="24"/>
      <c r="GE9" s="66"/>
      <c r="GF9" s="24"/>
      <c r="GG9" s="24"/>
      <c r="GH9" s="67"/>
      <c r="GI9" s="24"/>
      <c r="GJ9" s="24"/>
      <c r="GK9" s="68"/>
      <c r="GL9" s="69"/>
      <c r="GM9" s="68"/>
      <c r="GN9" s="65"/>
      <c r="GO9" s="68"/>
      <c r="GP9" s="66"/>
      <c r="GQ9" s="66"/>
      <c r="GR9" s="62"/>
    </row>
    <row r="10" spans="1:200" ht="14.5" x14ac:dyDescent="0.3">
      <c r="A10" s="55"/>
      <c r="B10" s="72"/>
      <c r="C10" s="72"/>
      <c r="D10" s="62"/>
      <c r="E10" s="73"/>
      <c r="F10" s="74"/>
      <c r="G10" s="62"/>
      <c r="H10" s="65"/>
      <c r="I10" s="65"/>
      <c r="J10" s="68"/>
      <c r="K10" s="65"/>
      <c r="L10" s="65"/>
      <c r="M10" s="68"/>
      <c r="N10" s="65"/>
      <c r="O10" s="65"/>
      <c r="P10" s="68"/>
      <c r="Q10" s="65"/>
      <c r="R10" s="65"/>
      <c r="S10" s="68"/>
      <c r="T10" s="65"/>
      <c r="U10" s="65"/>
      <c r="V10" s="68"/>
      <c r="W10" s="65"/>
      <c r="X10" s="65"/>
      <c r="Y10" s="68"/>
      <c r="Z10" s="65"/>
      <c r="AA10" s="62"/>
      <c r="AB10" s="68"/>
      <c r="AC10" s="62"/>
      <c r="AD10" s="62"/>
      <c r="AE10" s="68"/>
      <c r="AF10" s="62"/>
      <c r="AG10" s="62"/>
      <c r="AH10" s="68"/>
      <c r="AI10" s="62"/>
      <c r="AJ10" s="62"/>
      <c r="AK10" s="68"/>
      <c r="AL10" s="62"/>
      <c r="AM10" s="62"/>
      <c r="AN10" s="68"/>
      <c r="AO10" s="62"/>
      <c r="AP10" s="62"/>
      <c r="AQ10" s="68"/>
      <c r="AR10" s="62"/>
      <c r="AS10" s="62"/>
      <c r="AT10" s="68"/>
      <c r="AU10" s="62"/>
      <c r="AV10" s="62"/>
      <c r="AW10" s="68"/>
      <c r="AX10" s="62"/>
      <c r="AY10" s="62"/>
      <c r="AZ10" s="68"/>
      <c r="BA10" s="62"/>
      <c r="BB10" s="62"/>
      <c r="BC10" s="68"/>
      <c r="BD10" s="62"/>
      <c r="BE10" s="62"/>
      <c r="BF10" s="68"/>
      <c r="BG10" s="62"/>
      <c r="BH10" s="62"/>
      <c r="BI10" s="68"/>
      <c r="BJ10" s="62"/>
      <c r="BK10" s="62"/>
      <c r="BL10" s="68"/>
      <c r="BM10" s="62"/>
      <c r="BN10" s="62"/>
      <c r="BO10" s="68"/>
      <c r="BP10" s="62"/>
      <c r="BQ10" s="62"/>
      <c r="BR10" s="68"/>
      <c r="BS10" s="62"/>
      <c r="BT10" s="62"/>
      <c r="BU10" s="68"/>
      <c r="BV10" s="62"/>
      <c r="BW10" s="62"/>
      <c r="BX10" s="68"/>
      <c r="BY10" s="62"/>
      <c r="BZ10" s="62"/>
      <c r="CA10" s="68"/>
      <c r="CB10" s="62"/>
      <c r="CC10" s="62"/>
      <c r="CD10" s="68"/>
      <c r="CE10" s="62"/>
      <c r="CF10" s="62"/>
      <c r="CG10" s="68"/>
      <c r="CH10" s="62"/>
      <c r="CI10" s="62"/>
      <c r="CJ10" s="68"/>
      <c r="CK10" s="62"/>
      <c r="CL10" s="62"/>
      <c r="CM10" s="68"/>
      <c r="CN10" s="62"/>
      <c r="CO10" s="62"/>
      <c r="CP10" s="68"/>
      <c r="CQ10" s="62"/>
      <c r="CR10" s="62"/>
      <c r="CS10" s="66"/>
      <c r="CT10" s="62"/>
      <c r="CU10" s="66"/>
      <c r="CV10" s="65"/>
      <c r="CW10" s="62"/>
      <c r="CX10" s="62"/>
      <c r="CY10" s="68"/>
      <c r="CZ10" s="62"/>
      <c r="DA10" s="62"/>
      <c r="DB10" s="68"/>
      <c r="DC10" s="65"/>
      <c r="DD10" s="65"/>
      <c r="DE10" s="68"/>
      <c r="DF10" s="62"/>
      <c r="DG10" s="62"/>
      <c r="DH10" s="68"/>
      <c r="DI10" s="62"/>
      <c r="DJ10" s="62"/>
      <c r="DK10" s="66"/>
      <c r="DL10" s="62"/>
      <c r="DM10" s="62"/>
      <c r="DN10" s="68"/>
      <c r="DO10" s="65"/>
      <c r="DP10" s="65"/>
      <c r="DQ10" s="68"/>
      <c r="DR10" s="65"/>
      <c r="DS10" s="65"/>
      <c r="DT10" s="68"/>
      <c r="DU10" s="65"/>
      <c r="DV10" s="65"/>
      <c r="DW10" s="68"/>
      <c r="DX10" s="65"/>
      <c r="DY10" s="65"/>
      <c r="DZ10" s="68"/>
      <c r="EA10" s="65"/>
      <c r="EB10" s="65"/>
      <c r="EC10" s="68"/>
      <c r="ED10" s="65"/>
      <c r="EE10" s="65"/>
      <c r="EF10" s="68"/>
      <c r="EG10" s="65"/>
      <c r="EH10" s="65"/>
      <c r="EI10" s="68"/>
      <c r="EJ10" s="65"/>
      <c r="EK10" s="65"/>
      <c r="EL10" s="68"/>
      <c r="EM10" s="65"/>
      <c r="EN10" s="65"/>
      <c r="EO10" s="68"/>
      <c r="EP10" s="65"/>
      <c r="EQ10" s="65"/>
      <c r="ER10" s="68"/>
      <c r="ES10" s="65"/>
      <c r="ET10" s="65"/>
      <c r="EU10" s="68"/>
      <c r="EV10" s="65"/>
      <c r="EW10" s="65"/>
      <c r="EX10" s="68"/>
      <c r="EY10" s="65"/>
      <c r="EZ10" s="65"/>
      <c r="FA10" s="68"/>
      <c r="FB10" s="65"/>
      <c r="FC10" s="65"/>
      <c r="FD10" s="68"/>
      <c r="FE10" s="65"/>
      <c r="FF10" s="68"/>
      <c r="FG10" s="68"/>
      <c r="FH10" s="65"/>
      <c r="FI10" s="65"/>
      <c r="FJ10" s="68"/>
      <c r="FK10" s="65"/>
      <c r="FL10" s="65"/>
      <c r="FM10" s="68"/>
      <c r="FN10" s="65"/>
      <c r="FO10" s="65"/>
      <c r="FP10" s="68"/>
      <c r="FQ10" s="65"/>
      <c r="FR10" s="65"/>
      <c r="FS10" s="68"/>
      <c r="FT10" s="65"/>
      <c r="FU10" s="68"/>
      <c r="FV10" s="68"/>
      <c r="FW10" s="62"/>
      <c r="FX10" s="62"/>
      <c r="FY10" s="68"/>
      <c r="FZ10" s="65"/>
      <c r="GA10" s="65"/>
      <c r="GB10" s="66"/>
      <c r="GC10" s="65"/>
      <c r="GD10" s="65"/>
      <c r="GE10" s="66"/>
      <c r="GF10" s="65"/>
      <c r="GG10" s="65"/>
      <c r="GH10" s="66"/>
      <c r="GI10" s="65"/>
      <c r="GJ10" s="65"/>
      <c r="GK10" s="68"/>
      <c r="GL10" s="65"/>
      <c r="GM10" s="68"/>
      <c r="GN10" s="65"/>
      <c r="GO10" s="68"/>
      <c r="GP10" s="66"/>
      <c r="GQ10" s="66"/>
      <c r="GR10" s="62"/>
    </row>
    <row r="11" spans="1:200" s="83" customFormat="1" ht="84" x14ac:dyDescent="0.3">
      <c r="A11" s="55"/>
      <c r="B11" s="132" t="s">
        <v>154</v>
      </c>
      <c r="C11" s="144" t="s">
        <v>224</v>
      </c>
      <c r="D11" s="11" t="s">
        <v>155</v>
      </c>
      <c r="E11" s="50">
        <v>2</v>
      </c>
      <c r="F11" s="135">
        <v>1999</v>
      </c>
      <c r="G11" s="62"/>
      <c r="H11" s="50"/>
      <c r="I11" s="50"/>
      <c r="J11" s="68"/>
      <c r="K11" s="50"/>
      <c r="L11" s="50"/>
      <c r="M11" s="68"/>
      <c r="N11" s="50"/>
      <c r="O11" s="50"/>
      <c r="P11" s="68"/>
      <c r="Q11" s="71"/>
      <c r="R11" s="71"/>
      <c r="S11" s="68"/>
      <c r="T11" s="24">
        <f>((104*2)*Q3)*(105.9/77.8)</f>
        <v>370.89501285347052</v>
      </c>
      <c r="U11" s="50" t="s">
        <v>79</v>
      </c>
      <c r="V11" s="66"/>
      <c r="W11" s="32">
        <f>((72*2)*Q3)*(105.9/77.8)</f>
        <v>256.77347043701803</v>
      </c>
      <c r="X11" s="32" t="s">
        <v>79</v>
      </c>
      <c r="Y11" s="66"/>
      <c r="Z11" s="50"/>
      <c r="AA11" s="50"/>
      <c r="AB11" s="66"/>
      <c r="AC11" s="50"/>
      <c r="AD11" s="50"/>
      <c r="AE11" s="66"/>
      <c r="AF11" s="50"/>
      <c r="AG11" s="50"/>
      <c r="AH11" s="66"/>
      <c r="AI11" s="50"/>
      <c r="AJ11" s="50"/>
      <c r="AK11" s="66"/>
      <c r="AL11" s="24">
        <f>((106*2)*Q3)*(105.9/77.8)</f>
        <v>378.02760925449883</v>
      </c>
      <c r="AM11" s="24" t="s">
        <v>79</v>
      </c>
      <c r="AN11" s="66"/>
      <c r="AO11" s="24">
        <f>((239*2)*Q3)*(105.9/77.8)</f>
        <v>852.34526992287942</v>
      </c>
      <c r="AP11" s="24" t="s">
        <v>79</v>
      </c>
      <c r="AQ11" s="66"/>
      <c r="AR11" s="50"/>
      <c r="AS11" s="50"/>
      <c r="AT11" s="66"/>
      <c r="AU11" s="24">
        <f>((27*2)*Q3)*(105.9/77.8)</f>
        <v>96.29005141388177</v>
      </c>
      <c r="AV11" s="24" t="s">
        <v>79</v>
      </c>
      <c r="AW11" s="66"/>
      <c r="AX11" s="50"/>
      <c r="AY11" s="50"/>
      <c r="AZ11" s="66"/>
      <c r="BA11" s="50"/>
      <c r="BB11" s="50"/>
      <c r="BC11" s="66"/>
      <c r="BD11" s="24">
        <f>((104*2)*Q3)*(105.9/77.8)</f>
        <v>370.89501285347052</v>
      </c>
      <c r="BE11" s="24" t="s">
        <v>79</v>
      </c>
      <c r="BF11" s="66"/>
      <c r="BG11" s="24">
        <f>((10*2)*Q3)*(105.9/77.8)</f>
        <v>35.662982005141394</v>
      </c>
      <c r="BH11" s="24" t="s">
        <v>79</v>
      </c>
      <c r="BI11" s="66"/>
      <c r="BJ11" s="50"/>
      <c r="BK11" s="50"/>
      <c r="BL11" s="66"/>
      <c r="BM11" s="50"/>
      <c r="BN11" s="50"/>
      <c r="BO11" s="66"/>
      <c r="BP11" s="50"/>
      <c r="BQ11" s="50"/>
      <c r="BR11" s="66"/>
      <c r="BS11" s="50"/>
      <c r="BT11" s="50"/>
      <c r="BU11" s="66"/>
      <c r="BV11" s="114"/>
      <c r="BW11" s="114"/>
      <c r="BX11" s="66"/>
      <c r="BY11" s="114"/>
      <c r="BZ11" s="114"/>
      <c r="CA11" s="66"/>
      <c r="CB11" s="114"/>
      <c r="CC11" s="114"/>
      <c r="CD11" s="66"/>
      <c r="CE11" s="24">
        <f>((32*2)*Q3)*(105.9/77.8)</f>
        <v>114.12154241645246</v>
      </c>
      <c r="CF11" s="24" t="s">
        <v>79</v>
      </c>
      <c r="CG11" s="66"/>
      <c r="CH11" s="69">
        <f>((650*2)*Q3)*(105.9/77.8)</f>
        <v>2318.0938303341904</v>
      </c>
      <c r="CI11" s="69" t="s">
        <v>79</v>
      </c>
      <c r="CJ11" s="66"/>
      <c r="CK11" s="50"/>
      <c r="CL11" s="50"/>
      <c r="CM11" s="66"/>
      <c r="CN11" s="50"/>
      <c r="CO11" s="50"/>
      <c r="CP11" s="66"/>
      <c r="CQ11" s="50"/>
      <c r="CR11" s="50"/>
      <c r="CS11" s="66"/>
      <c r="CT11" s="71"/>
      <c r="CU11" s="66"/>
      <c r="CV11" s="62"/>
      <c r="CW11" s="50"/>
      <c r="CX11" s="50"/>
      <c r="CY11" s="66"/>
      <c r="CZ11" s="50"/>
      <c r="DA11" s="50"/>
      <c r="DB11" s="66"/>
      <c r="DC11" s="50"/>
      <c r="DD11" s="50"/>
      <c r="DE11" s="66"/>
      <c r="DF11" s="50"/>
      <c r="DG11" s="50"/>
      <c r="DH11" s="66"/>
      <c r="DI11" s="50"/>
      <c r="DJ11" s="50"/>
      <c r="DK11" s="66"/>
      <c r="DL11" s="51"/>
      <c r="DM11" s="51"/>
      <c r="DN11" s="66"/>
      <c r="DO11" s="71"/>
      <c r="DP11" s="71"/>
      <c r="DQ11" s="66"/>
      <c r="DR11" s="50"/>
      <c r="DS11" s="50"/>
      <c r="DT11" s="66"/>
      <c r="DU11" s="50"/>
      <c r="DV11" s="50"/>
      <c r="DW11" s="66"/>
      <c r="DX11" s="50"/>
      <c r="DY11" s="50"/>
      <c r="DZ11" s="66"/>
      <c r="EA11" s="71"/>
      <c r="EB11" s="71"/>
      <c r="EC11" s="66"/>
      <c r="ED11" s="50"/>
      <c r="EE11" s="50"/>
      <c r="EF11" s="66"/>
      <c r="EG11" s="50"/>
      <c r="EH11" s="50"/>
      <c r="EI11" s="66"/>
      <c r="EJ11" s="50"/>
      <c r="EK11" s="50"/>
      <c r="EL11" s="66"/>
      <c r="EM11" s="50"/>
      <c r="EN11" s="50"/>
      <c r="EO11" s="66"/>
      <c r="EP11" s="50"/>
      <c r="EQ11" s="50"/>
      <c r="ER11" s="66"/>
      <c r="ES11" s="71"/>
      <c r="ET11" s="71"/>
      <c r="EU11" s="66"/>
      <c r="EV11" s="50"/>
      <c r="EW11" s="50"/>
      <c r="EX11" s="66"/>
      <c r="EY11" s="50"/>
      <c r="EZ11" s="50"/>
      <c r="FA11" s="66"/>
      <c r="FB11" s="50"/>
      <c r="FC11" s="50"/>
      <c r="FD11" s="66"/>
      <c r="FE11" s="71"/>
      <c r="FF11" s="66"/>
      <c r="FG11" s="66"/>
      <c r="FH11" s="50"/>
      <c r="FI11" s="50"/>
      <c r="FJ11" s="68"/>
      <c r="FK11" s="50"/>
      <c r="FL11" s="50"/>
      <c r="FM11" s="66"/>
      <c r="FN11" s="50"/>
      <c r="FO11" s="50"/>
      <c r="FP11" s="66"/>
      <c r="FQ11" s="50"/>
      <c r="FR11" s="50"/>
      <c r="FS11" s="66"/>
      <c r="FT11" s="71"/>
      <c r="FU11" s="66"/>
      <c r="FV11" s="66"/>
      <c r="FW11" s="50"/>
      <c r="FX11" s="50"/>
      <c r="FY11" s="66"/>
      <c r="FZ11" s="24"/>
      <c r="GA11" s="24"/>
      <c r="GB11" s="66"/>
      <c r="GC11" s="24"/>
      <c r="GD11" s="24"/>
      <c r="GE11" s="66"/>
      <c r="GF11" s="24"/>
      <c r="GG11" s="24"/>
      <c r="GH11" s="66"/>
      <c r="GI11" s="24"/>
      <c r="GJ11" s="24"/>
      <c r="GK11" s="68"/>
      <c r="GL11" s="69"/>
      <c r="GM11" s="68"/>
      <c r="GN11" s="65"/>
      <c r="GO11" s="55"/>
      <c r="GP11" s="66"/>
      <c r="GQ11" s="66"/>
      <c r="GR11" s="62"/>
    </row>
    <row r="12" spans="1:200" s="83" customFormat="1" ht="70" x14ac:dyDescent="0.3">
      <c r="A12" s="55"/>
      <c r="B12" s="134"/>
      <c r="C12" s="136"/>
      <c r="D12" s="11" t="s">
        <v>156</v>
      </c>
      <c r="E12" s="50">
        <v>2</v>
      </c>
      <c r="F12" s="136"/>
      <c r="G12" s="62"/>
      <c r="H12" s="50"/>
      <c r="I12" s="50"/>
      <c r="J12" s="68"/>
      <c r="K12" s="50"/>
      <c r="L12" s="50"/>
      <c r="M12" s="68"/>
      <c r="N12" s="50"/>
      <c r="O12" s="50"/>
      <c r="P12" s="68"/>
      <c r="Q12" s="71"/>
      <c r="R12" s="71"/>
      <c r="S12" s="68"/>
      <c r="T12" s="24">
        <f>((89*2)*Q3)*(105.9/77.8)</f>
        <v>317.40053984575843</v>
      </c>
      <c r="U12" s="24" t="s">
        <v>79</v>
      </c>
      <c r="V12" s="66"/>
      <c r="W12" s="32">
        <f>((60*2)*Q3)*(105.9/77.8)</f>
        <v>213.97789203084838</v>
      </c>
      <c r="X12" s="32" t="s">
        <v>79</v>
      </c>
      <c r="Y12" s="66"/>
      <c r="Z12" s="50"/>
      <c r="AA12" s="50"/>
      <c r="AB12" s="66"/>
      <c r="AC12" s="50"/>
      <c r="AD12" s="50"/>
      <c r="AE12" s="66"/>
      <c r="AF12" s="50"/>
      <c r="AG12" s="50"/>
      <c r="AH12" s="66"/>
      <c r="AI12" s="50"/>
      <c r="AJ12" s="50"/>
      <c r="AK12" s="66"/>
      <c r="AL12" s="24">
        <f>((79*2)*Q3)*(105.9/77.8)</f>
        <v>281.73755784061706</v>
      </c>
      <c r="AM12" s="24" t="s">
        <v>79</v>
      </c>
      <c r="AN12" s="66"/>
      <c r="AO12" s="24">
        <f>((348*2)*Q3)*(105.9/77.8)</f>
        <v>1241.0717737789205</v>
      </c>
      <c r="AP12" s="24" t="s">
        <v>79</v>
      </c>
      <c r="AQ12" s="66"/>
      <c r="AR12" s="50"/>
      <c r="AS12" s="50"/>
      <c r="AT12" s="66"/>
      <c r="AU12" s="24">
        <f>((39*2)*Q3)*(105.9/77.8)</f>
        <v>139.08562982005145</v>
      </c>
      <c r="AV12" s="24" t="s">
        <v>79</v>
      </c>
      <c r="AW12" s="66"/>
      <c r="AX12" s="50"/>
      <c r="AY12" s="50"/>
      <c r="AZ12" s="66"/>
      <c r="BA12" s="50"/>
      <c r="BB12" s="50"/>
      <c r="BC12" s="66"/>
      <c r="BD12" s="24">
        <f>((44*2)*Q3)*(105.9/77.8)</f>
        <v>156.91712082262214</v>
      </c>
      <c r="BE12" s="24" t="s">
        <v>79</v>
      </c>
      <c r="BF12" s="66"/>
      <c r="BG12" s="24">
        <f>((96*2)*Q3)*(105.9/77.8)</f>
        <v>342.3646272493574</v>
      </c>
      <c r="BH12" s="24" t="s">
        <v>79</v>
      </c>
      <c r="BI12" s="66"/>
      <c r="BJ12" s="50"/>
      <c r="BK12" s="50"/>
      <c r="BL12" s="66"/>
      <c r="BM12" s="50"/>
      <c r="BN12" s="50"/>
      <c r="BO12" s="66"/>
      <c r="BP12" s="50"/>
      <c r="BQ12" s="50"/>
      <c r="BR12" s="66"/>
      <c r="BS12" s="50"/>
      <c r="BT12" s="50"/>
      <c r="BU12" s="66"/>
      <c r="BV12" s="114"/>
      <c r="BW12" s="114"/>
      <c r="BX12" s="66"/>
      <c r="BY12" s="114"/>
      <c r="BZ12" s="114"/>
      <c r="CA12" s="66"/>
      <c r="CB12" s="114"/>
      <c r="CC12" s="114"/>
      <c r="CD12" s="66"/>
      <c r="CE12" s="24">
        <f>((71*2)*Q3)*(105.9/77.8)</f>
        <v>253.20717223650391</v>
      </c>
      <c r="CF12" s="24" t="s">
        <v>79</v>
      </c>
      <c r="CG12" s="66"/>
      <c r="CH12" s="69">
        <f>((798*2)*Q3)*(105.9/77.8)</f>
        <v>2845.9059640102832</v>
      </c>
      <c r="CI12" s="69" t="s">
        <v>79</v>
      </c>
      <c r="CJ12" s="66"/>
      <c r="CK12" s="50"/>
      <c r="CL12" s="50"/>
      <c r="CM12" s="66"/>
      <c r="CN12" s="50"/>
      <c r="CO12" s="50"/>
      <c r="CP12" s="66"/>
      <c r="CQ12" s="50"/>
      <c r="CR12" s="50"/>
      <c r="CS12" s="66"/>
      <c r="CT12" s="71"/>
      <c r="CU12" s="66"/>
      <c r="CV12" s="62"/>
      <c r="CW12" s="50"/>
      <c r="CX12" s="50"/>
      <c r="CY12" s="66"/>
      <c r="CZ12" s="50"/>
      <c r="DA12" s="50"/>
      <c r="DB12" s="66"/>
      <c r="DC12" s="50"/>
      <c r="DD12" s="50"/>
      <c r="DE12" s="66"/>
      <c r="DF12" s="50"/>
      <c r="DG12" s="50"/>
      <c r="DH12" s="66"/>
      <c r="DI12" s="50"/>
      <c r="DJ12" s="50"/>
      <c r="DK12" s="66"/>
      <c r="DL12" s="51"/>
      <c r="DM12" s="51"/>
      <c r="DN12" s="66"/>
      <c r="DO12" s="71"/>
      <c r="DP12" s="71"/>
      <c r="DQ12" s="66"/>
      <c r="DR12" s="50"/>
      <c r="DS12" s="50"/>
      <c r="DT12" s="66"/>
      <c r="DU12" s="50"/>
      <c r="DV12" s="50"/>
      <c r="DW12" s="66"/>
      <c r="DX12" s="50"/>
      <c r="DY12" s="50"/>
      <c r="DZ12" s="66"/>
      <c r="EA12" s="71"/>
      <c r="EB12" s="71"/>
      <c r="EC12" s="66"/>
      <c r="ED12" s="50"/>
      <c r="EE12" s="50"/>
      <c r="EF12" s="66"/>
      <c r="EG12" s="50"/>
      <c r="EH12" s="50"/>
      <c r="EI12" s="66"/>
      <c r="EJ12" s="50"/>
      <c r="EK12" s="50"/>
      <c r="EL12" s="66"/>
      <c r="EM12" s="50"/>
      <c r="EN12" s="50"/>
      <c r="EO12" s="66"/>
      <c r="EP12" s="50"/>
      <c r="EQ12" s="50"/>
      <c r="ER12" s="66"/>
      <c r="ES12" s="71"/>
      <c r="ET12" s="71"/>
      <c r="EU12" s="66"/>
      <c r="EV12" s="50"/>
      <c r="EW12" s="50"/>
      <c r="EX12" s="66"/>
      <c r="EY12" s="50"/>
      <c r="EZ12" s="50"/>
      <c r="FA12" s="66"/>
      <c r="FB12" s="50"/>
      <c r="FC12" s="50"/>
      <c r="FD12" s="66"/>
      <c r="FE12" s="71"/>
      <c r="FF12" s="66"/>
      <c r="FG12" s="66"/>
      <c r="FH12" s="50"/>
      <c r="FI12" s="50"/>
      <c r="FJ12" s="68"/>
      <c r="FK12" s="50"/>
      <c r="FL12" s="50"/>
      <c r="FM12" s="66"/>
      <c r="FN12" s="50"/>
      <c r="FO12" s="50"/>
      <c r="FP12" s="66"/>
      <c r="FQ12" s="50"/>
      <c r="FR12" s="50"/>
      <c r="FS12" s="66"/>
      <c r="FT12" s="71"/>
      <c r="FU12" s="66"/>
      <c r="FV12" s="66"/>
      <c r="FW12" s="50"/>
      <c r="FX12" s="50"/>
      <c r="FY12" s="66"/>
      <c r="FZ12" s="24"/>
      <c r="GA12" s="24"/>
      <c r="GB12" s="66"/>
      <c r="GC12" s="24"/>
      <c r="GD12" s="24"/>
      <c r="GE12" s="66"/>
      <c r="GF12" s="24"/>
      <c r="GG12" s="24"/>
      <c r="GH12" s="67"/>
      <c r="GI12" s="24"/>
      <c r="GJ12" s="24"/>
      <c r="GK12" s="68"/>
      <c r="GL12" s="69"/>
      <c r="GM12" s="68"/>
      <c r="GN12" s="65"/>
      <c r="GO12" s="66"/>
      <c r="GP12" s="66"/>
      <c r="GQ12" s="66"/>
      <c r="GR12" s="62"/>
    </row>
    <row r="13" spans="1:200" x14ac:dyDescent="0.3">
      <c r="A13" s="55"/>
      <c r="B13" s="59"/>
      <c r="C13" s="59"/>
      <c r="D13" s="59"/>
      <c r="E13" s="59"/>
      <c r="F13" s="59"/>
      <c r="G13" s="59"/>
      <c r="H13" s="59"/>
      <c r="I13" s="59"/>
      <c r="J13" s="68"/>
      <c r="K13" s="59"/>
      <c r="L13" s="59"/>
      <c r="M13" s="68"/>
      <c r="N13" s="59"/>
      <c r="O13" s="59"/>
      <c r="P13" s="68"/>
      <c r="Q13" s="59"/>
      <c r="R13" s="59"/>
      <c r="S13" s="68"/>
      <c r="T13" s="59"/>
      <c r="U13" s="59"/>
      <c r="V13" s="66"/>
      <c r="W13" s="65"/>
      <c r="X13" s="65"/>
      <c r="Y13" s="66"/>
      <c r="Z13" s="59"/>
      <c r="AA13" s="59"/>
      <c r="AB13" s="66"/>
      <c r="AC13" s="59"/>
      <c r="AD13" s="59"/>
      <c r="AE13" s="66"/>
      <c r="AF13" s="59"/>
      <c r="AG13" s="59"/>
      <c r="AH13" s="66"/>
      <c r="AI13" s="59"/>
      <c r="AJ13" s="59"/>
      <c r="AK13" s="66"/>
      <c r="AL13" s="59"/>
      <c r="AM13" s="59"/>
      <c r="AN13" s="66"/>
      <c r="AO13" s="59"/>
      <c r="AP13" s="59"/>
      <c r="AQ13" s="66"/>
      <c r="AR13" s="59"/>
      <c r="AS13" s="59"/>
      <c r="AT13" s="66"/>
      <c r="AU13" s="59"/>
      <c r="AV13" s="59"/>
      <c r="AW13" s="66"/>
      <c r="AX13" s="59"/>
      <c r="AY13" s="59"/>
      <c r="AZ13" s="66"/>
      <c r="BA13" s="59"/>
      <c r="BB13" s="59"/>
      <c r="BC13" s="66"/>
      <c r="BD13" s="59"/>
      <c r="BE13" s="59"/>
      <c r="BF13" s="66"/>
      <c r="BG13" s="59"/>
      <c r="BH13" s="59"/>
      <c r="BI13" s="66"/>
      <c r="BJ13" s="59"/>
      <c r="BK13" s="59"/>
      <c r="BL13" s="66"/>
      <c r="BM13" s="59"/>
      <c r="BN13" s="59"/>
      <c r="BO13" s="66"/>
      <c r="BP13" s="59"/>
      <c r="BQ13" s="59"/>
      <c r="BR13" s="66"/>
      <c r="BS13" s="59"/>
      <c r="BT13" s="59"/>
      <c r="BU13" s="66"/>
      <c r="BV13" s="59"/>
      <c r="BW13" s="59"/>
      <c r="BX13" s="66"/>
      <c r="BY13" s="59"/>
      <c r="BZ13" s="59"/>
      <c r="CA13" s="66"/>
      <c r="CB13" s="59"/>
      <c r="CC13" s="59"/>
      <c r="CD13" s="66"/>
      <c r="CE13" s="59"/>
      <c r="CF13" s="59"/>
      <c r="CG13" s="66"/>
      <c r="CH13" s="59"/>
      <c r="CI13" s="59"/>
      <c r="CJ13" s="66"/>
      <c r="CK13" s="59"/>
      <c r="CL13" s="59"/>
      <c r="CM13" s="66"/>
      <c r="CN13" s="59"/>
      <c r="CO13" s="59"/>
      <c r="CP13" s="66"/>
      <c r="CQ13" s="59"/>
      <c r="CR13" s="59"/>
      <c r="CS13" s="55"/>
      <c r="CT13" s="59"/>
      <c r="CU13" s="55"/>
      <c r="CV13" s="62"/>
      <c r="CW13" s="59"/>
      <c r="CX13" s="59"/>
      <c r="CY13" s="66"/>
      <c r="CZ13" s="59"/>
      <c r="DA13" s="59"/>
      <c r="DB13" s="66"/>
      <c r="DC13" s="59"/>
      <c r="DD13" s="59"/>
      <c r="DE13" s="66"/>
      <c r="DF13" s="59"/>
      <c r="DG13" s="59"/>
      <c r="DH13" s="66"/>
      <c r="DI13" s="59"/>
      <c r="DJ13" s="59"/>
      <c r="DK13" s="55"/>
      <c r="DL13" s="59"/>
      <c r="DM13" s="59"/>
      <c r="DN13" s="66"/>
      <c r="DO13" s="59"/>
      <c r="DP13" s="59"/>
      <c r="DQ13" s="66"/>
      <c r="DR13" s="59"/>
      <c r="DS13" s="59"/>
      <c r="DT13" s="66"/>
      <c r="DU13" s="59"/>
      <c r="DV13" s="59"/>
      <c r="DW13" s="66"/>
      <c r="DX13" s="59"/>
      <c r="DY13" s="59"/>
      <c r="DZ13" s="66"/>
      <c r="EA13" s="59"/>
      <c r="EB13" s="59"/>
      <c r="EC13" s="66"/>
      <c r="ED13" s="59"/>
      <c r="EE13" s="59"/>
      <c r="EF13" s="66"/>
      <c r="EG13" s="59"/>
      <c r="EH13" s="59"/>
      <c r="EI13" s="66"/>
      <c r="EJ13" s="59"/>
      <c r="EK13" s="59"/>
      <c r="EL13" s="66"/>
      <c r="EM13" s="59"/>
      <c r="EN13" s="59"/>
      <c r="EO13" s="66"/>
      <c r="EP13" s="59"/>
      <c r="EQ13" s="59"/>
      <c r="ER13" s="66"/>
      <c r="ES13" s="59"/>
      <c r="ET13" s="59"/>
      <c r="EU13" s="66"/>
      <c r="EV13" s="59"/>
      <c r="EW13" s="59"/>
      <c r="EX13" s="66"/>
      <c r="EY13" s="59"/>
      <c r="EZ13" s="59"/>
      <c r="FA13" s="66"/>
      <c r="FB13" s="59"/>
      <c r="FC13" s="59"/>
      <c r="FD13" s="55"/>
      <c r="FE13" s="59"/>
      <c r="FF13" s="55"/>
      <c r="FG13" s="66"/>
      <c r="FH13" s="59"/>
      <c r="FI13" s="59"/>
      <c r="FJ13" s="68"/>
      <c r="FK13" s="59"/>
      <c r="FL13" s="59"/>
      <c r="FM13" s="66"/>
      <c r="FN13" s="59"/>
      <c r="FO13" s="59"/>
      <c r="FP13" s="55"/>
      <c r="FQ13" s="59"/>
      <c r="FR13" s="59"/>
      <c r="FS13" s="55"/>
      <c r="FT13" s="59"/>
      <c r="FU13" s="55"/>
      <c r="FV13" s="66"/>
      <c r="FW13" s="59"/>
      <c r="FX13" s="59"/>
      <c r="FY13" s="66"/>
      <c r="FZ13" s="77"/>
      <c r="GA13" s="77"/>
      <c r="GB13" s="55"/>
      <c r="GC13" s="77"/>
      <c r="GD13" s="77"/>
      <c r="GE13" s="55"/>
      <c r="GF13" s="77"/>
      <c r="GG13" s="77"/>
      <c r="GH13" s="66"/>
      <c r="GI13" s="77"/>
      <c r="GJ13" s="77"/>
      <c r="GK13" s="121"/>
      <c r="GL13" s="77"/>
      <c r="GM13" s="121"/>
      <c r="GN13" s="77"/>
      <c r="GO13" s="66"/>
      <c r="GP13" s="55"/>
      <c r="GQ13" s="55"/>
      <c r="GR13" s="59"/>
    </row>
    <row r="14" spans="1:200" s="83" customFormat="1" ht="42" x14ac:dyDescent="0.3">
      <c r="A14" s="55"/>
      <c r="B14" s="132" t="s">
        <v>158</v>
      </c>
      <c r="C14" s="144" t="s">
        <v>222</v>
      </c>
      <c r="D14" s="11" t="s">
        <v>159</v>
      </c>
      <c r="E14" s="50">
        <v>1</v>
      </c>
      <c r="F14" s="135">
        <v>2008</v>
      </c>
      <c r="G14" s="62"/>
      <c r="H14" s="50"/>
      <c r="I14" s="50"/>
      <c r="J14" s="68"/>
      <c r="K14" s="50"/>
      <c r="L14" s="50"/>
      <c r="M14" s="68"/>
      <c r="N14" s="50"/>
      <c r="O14" s="50"/>
      <c r="P14" s="68"/>
      <c r="Q14" s="71"/>
      <c r="R14" s="71"/>
      <c r="S14" s="68"/>
      <c r="T14" s="50"/>
      <c r="U14" s="50"/>
      <c r="V14" s="66"/>
      <c r="W14" s="49"/>
      <c r="X14" s="49"/>
      <c r="Y14" s="66"/>
      <c r="Z14" s="50"/>
      <c r="AA14" s="50"/>
      <c r="AB14" s="66"/>
      <c r="AC14" s="50"/>
      <c r="AD14" s="50"/>
      <c r="AE14" s="66"/>
      <c r="AF14" s="50"/>
      <c r="AG14" s="50"/>
      <c r="AH14" s="66"/>
      <c r="AI14" s="50"/>
      <c r="AJ14" s="50"/>
      <c r="AK14" s="66"/>
      <c r="AL14" s="50"/>
      <c r="AM14" s="50"/>
      <c r="AN14" s="66"/>
      <c r="AO14" s="50"/>
      <c r="AP14" s="50"/>
      <c r="AQ14" s="66"/>
      <c r="AR14" s="50"/>
      <c r="AS14" s="50"/>
      <c r="AT14" s="66"/>
      <c r="AU14" s="50"/>
      <c r="AV14" s="50"/>
      <c r="AW14" s="66"/>
      <c r="AX14" s="50"/>
      <c r="AY14" s="50"/>
      <c r="AZ14" s="66"/>
      <c r="BA14" s="50"/>
      <c r="BB14" s="50"/>
      <c r="BC14" s="66"/>
      <c r="BD14" s="50"/>
      <c r="BE14" s="50"/>
      <c r="BF14" s="66"/>
      <c r="BG14" s="50"/>
      <c r="BH14" s="50"/>
      <c r="BI14" s="66"/>
      <c r="BJ14" s="50"/>
      <c r="BK14" s="50"/>
      <c r="BL14" s="66"/>
      <c r="BM14" s="50"/>
      <c r="BN14" s="50"/>
      <c r="BO14" s="66"/>
      <c r="BP14" s="50"/>
      <c r="BQ14" s="50"/>
      <c r="BR14" s="66"/>
      <c r="BS14" s="50"/>
      <c r="BT14" s="50"/>
      <c r="BU14" s="66"/>
      <c r="BV14" s="50"/>
      <c r="BW14" s="50"/>
      <c r="BX14" s="66"/>
      <c r="BY14" s="50"/>
      <c r="BZ14" s="50"/>
      <c r="CA14" s="66"/>
      <c r="CB14" s="50"/>
      <c r="CC14" s="50"/>
      <c r="CD14" s="66"/>
      <c r="CE14" s="50"/>
      <c r="CF14" s="50"/>
      <c r="CG14" s="66"/>
      <c r="CH14" s="71"/>
      <c r="CI14" s="71"/>
      <c r="CJ14" s="66"/>
      <c r="CK14" s="50"/>
      <c r="CL14" s="50"/>
      <c r="CM14" s="66"/>
      <c r="CN14" s="50"/>
      <c r="CO14" s="50"/>
      <c r="CP14" s="66"/>
      <c r="CQ14" s="50"/>
      <c r="CR14" s="50"/>
      <c r="CS14" s="66"/>
      <c r="CT14" s="71"/>
      <c r="CU14" s="66"/>
      <c r="CV14" s="62"/>
      <c r="CW14" s="50"/>
      <c r="CX14" s="50"/>
      <c r="CY14" s="66"/>
      <c r="CZ14" s="50"/>
      <c r="DA14" s="50"/>
      <c r="DB14" s="66"/>
      <c r="DC14" s="50"/>
      <c r="DD14" s="50"/>
      <c r="DE14" s="66"/>
      <c r="DF14" s="50"/>
      <c r="DG14" s="50"/>
      <c r="DH14" s="66"/>
      <c r="DI14" s="50"/>
      <c r="DJ14" s="50"/>
      <c r="DK14" s="66"/>
      <c r="DL14" s="51"/>
      <c r="DM14" s="51"/>
      <c r="DN14" s="66"/>
      <c r="DO14" s="71"/>
      <c r="DP14" s="71"/>
      <c r="DQ14" s="66"/>
      <c r="DR14" s="50"/>
      <c r="DS14" s="50"/>
      <c r="DT14" s="66"/>
      <c r="DU14" s="50"/>
      <c r="DV14" s="50"/>
      <c r="DW14" s="66"/>
      <c r="DX14" s="50"/>
      <c r="DY14" s="50"/>
      <c r="DZ14" s="66"/>
      <c r="EA14" s="71"/>
      <c r="EB14" s="71"/>
      <c r="EC14" s="66"/>
      <c r="ED14" s="50"/>
      <c r="EE14" s="50"/>
      <c r="EF14" s="66"/>
      <c r="EG14" s="50"/>
      <c r="EH14" s="50"/>
      <c r="EI14" s="66"/>
      <c r="EJ14" s="50"/>
      <c r="EK14" s="50"/>
      <c r="EL14" s="66"/>
      <c r="EM14" s="50"/>
      <c r="EN14" s="50"/>
      <c r="EO14" s="66"/>
      <c r="EP14" s="50"/>
      <c r="EQ14" s="50"/>
      <c r="ER14" s="66"/>
      <c r="ES14" s="71"/>
      <c r="ET14" s="71"/>
      <c r="EU14" s="66"/>
      <c r="EV14" s="24">
        <f>(11219*N3)*(3926.3/4037.3)</f>
        <v>12219.814941668938</v>
      </c>
      <c r="EW14" s="24" t="s">
        <v>79</v>
      </c>
      <c r="EX14" s="66"/>
      <c r="EY14" s="50"/>
      <c r="EZ14" s="50"/>
      <c r="FA14" s="66"/>
      <c r="FB14" s="50"/>
      <c r="FC14" s="50"/>
      <c r="FD14" s="66"/>
      <c r="FE14" s="71"/>
      <c r="FF14" s="66"/>
      <c r="FG14" s="66"/>
      <c r="FH14" s="50"/>
      <c r="FI14" s="50"/>
      <c r="FJ14" s="68"/>
      <c r="FK14" s="50"/>
      <c r="FL14" s="50"/>
      <c r="FM14" s="66"/>
      <c r="FN14" s="24">
        <f>(16822*N3)*(101.4/100.7)</f>
        <v>18971.607706057603</v>
      </c>
      <c r="FO14" s="24" t="s">
        <v>79</v>
      </c>
      <c r="FP14" s="68"/>
      <c r="FQ14" s="24">
        <f>(5439*N3)*(101.4/100.7)</f>
        <v>6134.025342601788</v>
      </c>
      <c r="FR14" s="24" t="s">
        <v>79</v>
      </c>
      <c r="FS14" s="68"/>
      <c r="FT14" s="69"/>
      <c r="FU14" s="68"/>
      <c r="FV14" s="66"/>
      <c r="FW14" s="24">
        <f>(27758*N3)*(3926.3/4037.3)</f>
        <v>30234.211886161549</v>
      </c>
      <c r="FX14" s="24" t="s">
        <v>79</v>
      </c>
      <c r="FY14" s="66"/>
      <c r="FZ14" s="24"/>
      <c r="GA14" s="24"/>
      <c r="GB14" s="66"/>
      <c r="GC14" s="24"/>
      <c r="GD14" s="24"/>
      <c r="GE14" s="66"/>
      <c r="GF14" s="24"/>
      <c r="GG14" s="24"/>
      <c r="GH14" s="67"/>
      <c r="GI14" s="24"/>
      <c r="GJ14" s="24"/>
      <c r="GK14" s="68"/>
      <c r="GL14" s="69"/>
      <c r="GM14" s="68"/>
      <c r="GN14" s="65"/>
      <c r="GO14" s="55"/>
      <c r="GP14" s="66"/>
      <c r="GQ14" s="66"/>
      <c r="GR14" s="62"/>
    </row>
    <row r="15" spans="1:200" s="83" customFormat="1" ht="42" x14ac:dyDescent="0.3">
      <c r="A15" s="55"/>
      <c r="B15" s="134"/>
      <c r="C15" s="136"/>
      <c r="D15" s="11" t="s">
        <v>160</v>
      </c>
      <c r="E15" s="50">
        <v>1</v>
      </c>
      <c r="F15" s="136"/>
      <c r="G15" s="62"/>
      <c r="H15" s="50"/>
      <c r="I15" s="50"/>
      <c r="J15" s="68"/>
      <c r="K15" s="50"/>
      <c r="L15" s="50"/>
      <c r="M15" s="68"/>
      <c r="N15" s="50"/>
      <c r="O15" s="50"/>
      <c r="P15" s="68"/>
      <c r="Q15" s="71"/>
      <c r="R15" s="71"/>
      <c r="S15" s="68"/>
      <c r="T15" s="50"/>
      <c r="U15" s="50"/>
      <c r="V15" s="66"/>
      <c r="W15" s="50"/>
      <c r="X15" s="50"/>
      <c r="Y15" s="66"/>
      <c r="Z15" s="50"/>
      <c r="AA15" s="50"/>
      <c r="AB15" s="66"/>
      <c r="AC15" s="50"/>
      <c r="AD15" s="50"/>
      <c r="AE15" s="66"/>
      <c r="AF15" s="50"/>
      <c r="AG15" s="50"/>
      <c r="AH15" s="66"/>
      <c r="AI15" s="50"/>
      <c r="AJ15" s="50"/>
      <c r="AK15" s="66"/>
      <c r="AL15" s="50"/>
      <c r="AM15" s="50"/>
      <c r="AN15" s="66"/>
      <c r="AO15" s="50"/>
      <c r="AP15" s="50"/>
      <c r="AQ15" s="66"/>
      <c r="AR15" s="50"/>
      <c r="AS15" s="50"/>
      <c r="AT15" s="66"/>
      <c r="AU15" s="50"/>
      <c r="AV15" s="50"/>
      <c r="AW15" s="66"/>
      <c r="AX15" s="50"/>
      <c r="AY15" s="50"/>
      <c r="AZ15" s="66"/>
      <c r="BA15" s="50"/>
      <c r="BB15" s="50"/>
      <c r="BC15" s="66"/>
      <c r="BD15" s="50"/>
      <c r="BE15" s="50"/>
      <c r="BF15" s="66"/>
      <c r="BG15" s="50"/>
      <c r="BH15" s="50"/>
      <c r="BI15" s="66"/>
      <c r="BJ15" s="50"/>
      <c r="BK15" s="50"/>
      <c r="BL15" s="66"/>
      <c r="BM15" s="50"/>
      <c r="BN15" s="50"/>
      <c r="BO15" s="66"/>
      <c r="BP15" s="50"/>
      <c r="BQ15" s="50"/>
      <c r="BR15" s="66"/>
      <c r="BS15" s="50"/>
      <c r="BT15" s="50"/>
      <c r="BU15" s="66"/>
      <c r="BV15" s="50"/>
      <c r="BW15" s="50"/>
      <c r="BX15" s="66"/>
      <c r="BY15" s="50"/>
      <c r="BZ15" s="50"/>
      <c r="CA15" s="66"/>
      <c r="CB15" s="50"/>
      <c r="CC15" s="50"/>
      <c r="CD15" s="66"/>
      <c r="CE15" s="50"/>
      <c r="CF15" s="50"/>
      <c r="CG15" s="66"/>
      <c r="CH15" s="71"/>
      <c r="CI15" s="71"/>
      <c r="CJ15" s="66"/>
      <c r="CK15" s="50"/>
      <c r="CL15" s="50"/>
      <c r="CM15" s="66"/>
      <c r="CN15" s="50"/>
      <c r="CO15" s="50"/>
      <c r="CP15" s="66"/>
      <c r="CQ15" s="50"/>
      <c r="CR15" s="50"/>
      <c r="CS15" s="66"/>
      <c r="CT15" s="71"/>
      <c r="CU15" s="66"/>
      <c r="CV15" s="62"/>
      <c r="CW15" s="50"/>
      <c r="CX15" s="50"/>
      <c r="CY15" s="66"/>
      <c r="CZ15" s="50"/>
      <c r="DA15" s="50"/>
      <c r="DB15" s="66"/>
      <c r="DC15" s="50"/>
      <c r="DD15" s="50"/>
      <c r="DE15" s="66"/>
      <c r="DF15" s="50"/>
      <c r="DG15" s="50"/>
      <c r="DH15" s="66"/>
      <c r="DI15" s="50"/>
      <c r="DJ15" s="50"/>
      <c r="DK15" s="66"/>
      <c r="DL15" s="51"/>
      <c r="DM15" s="51"/>
      <c r="DN15" s="66"/>
      <c r="DO15" s="71"/>
      <c r="DP15" s="71"/>
      <c r="DQ15" s="66"/>
      <c r="DR15" s="50"/>
      <c r="DS15" s="50"/>
      <c r="DT15" s="66"/>
      <c r="DU15" s="50"/>
      <c r="DV15" s="50"/>
      <c r="DW15" s="66"/>
      <c r="DX15" s="50"/>
      <c r="DY15" s="50"/>
      <c r="DZ15" s="66"/>
      <c r="EA15" s="71"/>
      <c r="EB15" s="71"/>
      <c r="EC15" s="66"/>
      <c r="ED15" s="50"/>
      <c r="EE15" s="50"/>
      <c r="EF15" s="66"/>
      <c r="EG15" s="50"/>
      <c r="EH15" s="50"/>
      <c r="EI15" s="66"/>
      <c r="EJ15" s="50"/>
      <c r="EK15" s="50"/>
      <c r="EL15" s="66"/>
      <c r="EM15" s="50"/>
      <c r="EN15" s="50"/>
      <c r="EO15" s="66"/>
      <c r="EP15" s="50"/>
      <c r="EQ15" s="50"/>
      <c r="ER15" s="66"/>
      <c r="ES15" s="71"/>
      <c r="ET15" s="71"/>
      <c r="EU15" s="66"/>
      <c r="EV15" s="24">
        <f>(11219*N3)*(3926.3/4037.3)</f>
        <v>12219.814941668938</v>
      </c>
      <c r="EW15" s="24" t="s">
        <v>79</v>
      </c>
      <c r="EX15" s="66"/>
      <c r="EY15" s="50"/>
      <c r="EZ15" s="50"/>
      <c r="FA15" s="66"/>
      <c r="FB15" s="50"/>
      <c r="FC15" s="50"/>
      <c r="FD15" s="66"/>
      <c r="FE15" s="71"/>
      <c r="FF15" s="66"/>
      <c r="FG15" s="66"/>
      <c r="FH15" s="50"/>
      <c r="FI15" s="50"/>
      <c r="FJ15" s="68"/>
      <c r="FK15" s="24">
        <f>(7090*N3)*(3926.3/4037.3)</f>
        <v>7722.4786466202677</v>
      </c>
      <c r="FL15" s="24" t="s">
        <v>79</v>
      </c>
      <c r="FM15" s="66"/>
      <c r="FN15" s="24">
        <f>(1292*N3)*(101.4/100.7)</f>
        <v>1457.0988679245286</v>
      </c>
      <c r="FO15" s="24" t="s">
        <v>79</v>
      </c>
      <c r="FP15" s="68"/>
      <c r="FQ15" s="24">
        <f>(1328*N3)*(101.4/100.7)</f>
        <v>1497.6991459781532</v>
      </c>
      <c r="FR15" s="24" t="s">
        <v>79</v>
      </c>
      <c r="FS15" s="68"/>
      <c r="FT15" s="69"/>
      <c r="FU15" s="68"/>
      <c r="FV15" s="66"/>
      <c r="FW15" s="24">
        <f>(22941*N3)*(3926.3/4037.3)</f>
        <v>24987.501076461995</v>
      </c>
      <c r="FX15" s="24" t="s">
        <v>79</v>
      </c>
      <c r="FY15" s="66"/>
      <c r="FZ15" s="24"/>
      <c r="GA15" s="24"/>
      <c r="GB15" s="66"/>
      <c r="GC15" s="24"/>
      <c r="GD15" s="24"/>
      <c r="GE15" s="66"/>
      <c r="GF15" s="24"/>
      <c r="GG15" s="24"/>
      <c r="GH15" s="66"/>
      <c r="GI15" s="24"/>
      <c r="GJ15" s="24"/>
      <c r="GK15" s="68"/>
      <c r="GL15" s="69"/>
      <c r="GM15" s="68"/>
      <c r="GN15" s="65"/>
      <c r="GO15" s="66"/>
      <c r="GP15" s="66"/>
      <c r="GQ15" s="68"/>
      <c r="GR15" s="62"/>
    </row>
    <row r="16" spans="1:200" x14ac:dyDescent="0.3">
      <c r="A16" s="55"/>
      <c r="B16" s="59"/>
      <c r="C16" s="59"/>
      <c r="D16" s="59"/>
      <c r="E16" s="59"/>
      <c r="F16" s="59"/>
      <c r="G16" s="59"/>
      <c r="H16" s="59"/>
      <c r="I16" s="59"/>
      <c r="J16" s="68"/>
      <c r="K16" s="59"/>
      <c r="L16" s="59"/>
      <c r="M16" s="68"/>
      <c r="N16" s="59"/>
      <c r="O16" s="59"/>
      <c r="P16" s="68"/>
      <c r="Q16" s="59"/>
      <c r="R16" s="59"/>
      <c r="S16" s="68"/>
      <c r="T16" s="59"/>
      <c r="U16" s="59"/>
      <c r="V16" s="66"/>
      <c r="W16" s="59"/>
      <c r="X16" s="59"/>
      <c r="Y16" s="66"/>
      <c r="Z16" s="59"/>
      <c r="AA16" s="59"/>
      <c r="AB16" s="66"/>
      <c r="AC16" s="59"/>
      <c r="AD16" s="59"/>
      <c r="AE16" s="66"/>
      <c r="AF16" s="59"/>
      <c r="AG16" s="59"/>
      <c r="AH16" s="66"/>
      <c r="AI16" s="59"/>
      <c r="AJ16" s="59"/>
      <c r="AK16" s="66"/>
      <c r="AL16" s="59"/>
      <c r="AM16" s="59"/>
      <c r="AN16" s="66"/>
      <c r="AO16" s="59"/>
      <c r="AP16" s="59"/>
      <c r="AQ16" s="66"/>
      <c r="AR16" s="59"/>
      <c r="AS16" s="59"/>
      <c r="AT16" s="66"/>
      <c r="AU16" s="59"/>
      <c r="AV16" s="59"/>
      <c r="AW16" s="66"/>
      <c r="AX16" s="59"/>
      <c r="AY16" s="59"/>
      <c r="AZ16" s="66"/>
      <c r="BA16" s="59"/>
      <c r="BB16" s="59"/>
      <c r="BC16" s="66"/>
      <c r="BD16" s="59"/>
      <c r="BE16" s="59"/>
      <c r="BF16" s="66"/>
      <c r="BG16" s="59"/>
      <c r="BH16" s="59"/>
      <c r="BI16" s="66"/>
      <c r="BJ16" s="59"/>
      <c r="BK16" s="59"/>
      <c r="BL16" s="66"/>
      <c r="BM16" s="59"/>
      <c r="BN16" s="59"/>
      <c r="BO16" s="66"/>
      <c r="BP16" s="59"/>
      <c r="BQ16" s="59"/>
      <c r="BR16" s="66"/>
      <c r="BS16" s="59"/>
      <c r="BT16" s="59"/>
      <c r="BU16" s="66"/>
      <c r="BV16" s="59"/>
      <c r="BW16" s="59"/>
      <c r="BX16" s="66"/>
      <c r="BY16" s="59"/>
      <c r="BZ16" s="59"/>
      <c r="CA16" s="66"/>
      <c r="CB16" s="59"/>
      <c r="CC16" s="59"/>
      <c r="CD16" s="66"/>
      <c r="CE16" s="59"/>
      <c r="CF16" s="59"/>
      <c r="CG16" s="66"/>
      <c r="CH16" s="59"/>
      <c r="CI16" s="59"/>
      <c r="CJ16" s="66"/>
      <c r="CK16" s="59"/>
      <c r="CL16" s="59"/>
      <c r="CM16" s="66"/>
      <c r="CN16" s="59"/>
      <c r="CO16" s="59"/>
      <c r="CP16" s="66"/>
      <c r="CQ16" s="59"/>
      <c r="CR16" s="59"/>
      <c r="CS16" s="55"/>
      <c r="CT16" s="59"/>
      <c r="CU16" s="55"/>
      <c r="CV16" s="62"/>
      <c r="CW16" s="59"/>
      <c r="CX16" s="59"/>
      <c r="CY16" s="66"/>
      <c r="CZ16" s="59"/>
      <c r="DA16" s="59"/>
      <c r="DB16" s="66"/>
      <c r="DC16" s="59"/>
      <c r="DD16" s="59"/>
      <c r="DE16" s="66"/>
      <c r="DF16" s="59"/>
      <c r="DG16" s="59"/>
      <c r="DH16" s="66"/>
      <c r="DI16" s="59"/>
      <c r="DJ16" s="59"/>
      <c r="DK16" s="55"/>
      <c r="DL16" s="59"/>
      <c r="DM16" s="59"/>
      <c r="DN16" s="66"/>
      <c r="DO16" s="59"/>
      <c r="DP16" s="59"/>
      <c r="DQ16" s="66"/>
      <c r="DR16" s="59"/>
      <c r="DS16" s="59"/>
      <c r="DT16" s="66"/>
      <c r="DU16" s="59"/>
      <c r="DV16" s="59"/>
      <c r="DW16" s="66"/>
      <c r="DX16" s="59"/>
      <c r="DY16" s="59"/>
      <c r="DZ16" s="66"/>
      <c r="EA16" s="59"/>
      <c r="EB16" s="59"/>
      <c r="EC16" s="66"/>
      <c r="ED16" s="59"/>
      <c r="EE16" s="59"/>
      <c r="EF16" s="66"/>
      <c r="EG16" s="59"/>
      <c r="EH16" s="59"/>
      <c r="EI16" s="66"/>
      <c r="EJ16" s="59"/>
      <c r="EK16" s="59"/>
      <c r="EL16" s="66"/>
      <c r="EM16" s="59"/>
      <c r="EN16" s="59"/>
      <c r="EO16" s="66"/>
      <c r="EP16" s="59"/>
      <c r="EQ16" s="59"/>
      <c r="ER16" s="66"/>
      <c r="ES16" s="59"/>
      <c r="ET16" s="59"/>
      <c r="EU16" s="66"/>
      <c r="EV16" s="59"/>
      <c r="EW16" s="59"/>
      <c r="EX16" s="66"/>
      <c r="EY16" s="59"/>
      <c r="EZ16" s="59"/>
      <c r="FA16" s="66"/>
      <c r="FB16" s="59"/>
      <c r="FC16" s="59"/>
      <c r="FD16" s="55"/>
      <c r="FE16" s="59"/>
      <c r="FF16" s="55"/>
      <c r="FG16" s="66"/>
      <c r="FH16" s="59"/>
      <c r="FI16" s="59"/>
      <c r="FJ16" s="68"/>
      <c r="FK16" s="59"/>
      <c r="FL16" s="59"/>
      <c r="FM16" s="66"/>
      <c r="FN16" s="59"/>
      <c r="FO16" s="59"/>
      <c r="FP16" s="55"/>
      <c r="FQ16" s="59"/>
      <c r="FR16" s="59"/>
      <c r="FS16" s="55"/>
      <c r="FT16" s="59"/>
      <c r="FU16" s="55"/>
      <c r="FV16" s="66"/>
      <c r="FW16" s="59"/>
      <c r="FX16" s="59"/>
      <c r="FY16" s="66"/>
      <c r="FZ16" s="77"/>
      <c r="GA16" s="77"/>
      <c r="GB16" s="55"/>
      <c r="GC16" s="77"/>
      <c r="GD16" s="77"/>
      <c r="GE16" s="55"/>
      <c r="GF16" s="77"/>
      <c r="GG16" s="77"/>
      <c r="GH16" s="67"/>
      <c r="GI16" s="77"/>
      <c r="GJ16" s="77"/>
      <c r="GK16" s="121"/>
      <c r="GL16" s="77"/>
      <c r="GM16" s="121"/>
      <c r="GN16" s="77"/>
      <c r="GO16" s="66"/>
      <c r="GP16" s="55"/>
      <c r="GQ16" s="55"/>
      <c r="GR16" s="59"/>
    </row>
    <row r="17" spans="1:200" s="83" customFormat="1" ht="42" x14ac:dyDescent="0.3">
      <c r="A17" s="55"/>
      <c r="B17" s="99" t="s">
        <v>163</v>
      </c>
      <c r="C17" s="93" t="s">
        <v>225</v>
      </c>
      <c r="D17" s="11" t="s">
        <v>164</v>
      </c>
      <c r="E17" s="51">
        <v>2</v>
      </c>
      <c r="F17" s="51">
        <v>1999</v>
      </c>
      <c r="G17" s="59"/>
      <c r="H17" s="24">
        <f>(8.77*Q3)*(105.9/77.8)</f>
        <v>15.6382176092545</v>
      </c>
      <c r="I17" s="24" t="s">
        <v>79</v>
      </c>
      <c r="J17" s="68"/>
      <c r="K17" s="24">
        <f>(75.31*Q3)*(105.9/77.8)</f>
        <v>134.28895874035993</v>
      </c>
      <c r="L17" s="24" t="s">
        <v>79</v>
      </c>
      <c r="M17" s="68"/>
      <c r="N17" s="24">
        <f>(8.02*Q3)*(105.9/77.8)</f>
        <v>14.300855784061698</v>
      </c>
      <c r="O17" s="24" t="s">
        <v>79</v>
      </c>
      <c r="P17" s="68"/>
      <c r="Q17" s="71"/>
      <c r="R17" s="71"/>
      <c r="S17" s="68"/>
      <c r="T17" s="51"/>
      <c r="U17" s="51"/>
      <c r="V17" s="66"/>
      <c r="W17" s="51"/>
      <c r="X17" s="51"/>
      <c r="Y17" s="66"/>
      <c r="Z17" s="51"/>
      <c r="AA17" s="51"/>
      <c r="AB17" s="66"/>
      <c r="AC17" s="51"/>
      <c r="AD17" s="51"/>
      <c r="AE17" s="66"/>
      <c r="AF17" s="51"/>
      <c r="AG17" s="51"/>
      <c r="AH17" s="66"/>
      <c r="AI17" s="51"/>
      <c r="AJ17" s="51"/>
      <c r="AK17" s="66"/>
      <c r="AL17" s="51"/>
      <c r="AM17" s="51"/>
      <c r="AN17" s="66"/>
      <c r="AO17" s="51"/>
      <c r="AP17" s="51"/>
      <c r="AQ17" s="66"/>
      <c r="AR17" s="51"/>
      <c r="AS17" s="51"/>
      <c r="AT17" s="66"/>
      <c r="AU17" s="51"/>
      <c r="AV17" s="51"/>
      <c r="AW17" s="66"/>
      <c r="AX17" s="51"/>
      <c r="AY17" s="51"/>
      <c r="AZ17" s="66"/>
      <c r="BA17" s="51"/>
      <c r="BB17" s="51"/>
      <c r="BC17" s="66"/>
      <c r="BD17" s="51"/>
      <c r="BE17" s="51"/>
      <c r="BF17" s="66"/>
      <c r="BG17" s="51"/>
      <c r="BH17" s="51"/>
      <c r="BI17" s="66"/>
      <c r="BJ17" s="51"/>
      <c r="BK17" s="51"/>
      <c r="BL17" s="66"/>
      <c r="BM17" s="51"/>
      <c r="BN17" s="51"/>
      <c r="BO17" s="66"/>
      <c r="BP17" s="51"/>
      <c r="BQ17" s="51"/>
      <c r="BR17" s="66"/>
      <c r="BS17" s="51"/>
      <c r="BT17" s="51"/>
      <c r="BU17" s="66"/>
      <c r="BV17" s="51"/>
      <c r="BW17" s="51"/>
      <c r="BX17" s="66"/>
      <c r="BY17" s="51"/>
      <c r="BZ17" s="51"/>
      <c r="CA17" s="66"/>
      <c r="CB17" s="51"/>
      <c r="CC17" s="51"/>
      <c r="CD17" s="66"/>
      <c r="CE17" s="51"/>
      <c r="CF17" s="51"/>
      <c r="CG17" s="66"/>
      <c r="CH17" s="69">
        <f>((260.25*Q3)*(105.9/77.8))+((0.12*Q3)*(105.9/77.8))+((63.7*Q3)*(105.9/77.8))</f>
        <v>577.86512892030862</v>
      </c>
      <c r="CI17" s="69" t="s">
        <v>79</v>
      </c>
      <c r="CJ17" s="66"/>
      <c r="CK17" s="51"/>
      <c r="CL17" s="51"/>
      <c r="CM17" s="66"/>
      <c r="CN17" s="51"/>
      <c r="CO17" s="51"/>
      <c r="CP17" s="66"/>
      <c r="CQ17" s="51"/>
      <c r="CR17" s="51"/>
      <c r="CS17" s="66"/>
      <c r="CT17" s="71"/>
      <c r="CU17" s="66"/>
      <c r="CV17" s="62"/>
      <c r="CW17" s="51"/>
      <c r="CX17" s="51"/>
      <c r="CY17" s="66"/>
      <c r="CZ17" s="51"/>
      <c r="DA17" s="51"/>
      <c r="DB17" s="66"/>
      <c r="DC17" s="51"/>
      <c r="DD17" s="51"/>
      <c r="DE17" s="66"/>
      <c r="DF17" s="51"/>
      <c r="DG17" s="51"/>
      <c r="DH17" s="66"/>
      <c r="DI17" s="51"/>
      <c r="DJ17" s="51"/>
      <c r="DK17" s="66"/>
      <c r="DL17" s="51"/>
      <c r="DM17" s="51"/>
      <c r="DN17" s="66"/>
      <c r="DO17" s="69">
        <f>(1484.94*Q3)*(105.9/77.8)</f>
        <v>2647.8694249357332</v>
      </c>
      <c r="DP17" s="69" t="s">
        <v>79</v>
      </c>
      <c r="DQ17" s="66"/>
      <c r="DR17" s="51"/>
      <c r="DS17" s="51"/>
      <c r="DT17" s="66"/>
      <c r="DU17" s="24">
        <f>(2455.68*Q3)*(105.9/77.8)</f>
        <v>4378.843582519281</v>
      </c>
      <c r="DV17" s="24" t="s">
        <v>79</v>
      </c>
      <c r="DW17" s="66"/>
      <c r="DX17" s="51"/>
      <c r="DY17" s="51"/>
      <c r="DZ17" s="66"/>
      <c r="EA17" s="71"/>
      <c r="EB17" s="71"/>
      <c r="EC17" s="66"/>
      <c r="ED17" s="24">
        <f>(738.64*Q3)*(105.9/77.8)</f>
        <v>1317.1052514138821</v>
      </c>
      <c r="EE17" s="24" t="s">
        <v>79</v>
      </c>
      <c r="EF17" s="66"/>
      <c r="EG17" s="51"/>
      <c r="EH17" s="51"/>
      <c r="EI17" s="66"/>
      <c r="EJ17" s="51"/>
      <c r="EK17" s="51"/>
      <c r="EL17" s="66"/>
      <c r="EM17" s="24">
        <f>(378.4*Q3)*(105.9/77.8)</f>
        <v>674.74361953727521</v>
      </c>
      <c r="EN17" s="24" t="s">
        <v>79</v>
      </c>
      <c r="EO17" s="66"/>
      <c r="EP17" s="51"/>
      <c r="EQ17" s="51"/>
      <c r="ER17" s="66"/>
      <c r="ES17" s="71"/>
      <c r="ET17" s="71"/>
      <c r="EU17" s="66"/>
      <c r="EV17" s="51"/>
      <c r="EW17" s="51"/>
      <c r="EX17" s="66"/>
      <c r="EY17" s="51"/>
      <c r="EZ17" s="51"/>
      <c r="FA17" s="66"/>
      <c r="FB17" s="24">
        <f>(163.09*Q3)*(27040/15825)</f>
        <v>365.05777036334916</v>
      </c>
      <c r="FC17" s="24" t="s">
        <v>79</v>
      </c>
      <c r="FD17" s="68"/>
      <c r="FE17" s="69"/>
      <c r="FF17" s="68"/>
      <c r="FG17" s="66"/>
      <c r="FH17" s="51"/>
      <c r="FI17" s="51"/>
      <c r="FJ17" s="68"/>
      <c r="FK17" s="51"/>
      <c r="FL17" s="51"/>
      <c r="FM17" s="66"/>
      <c r="FN17" s="51"/>
      <c r="FO17" s="51"/>
      <c r="FP17" s="66"/>
      <c r="FQ17" s="51"/>
      <c r="FR17" s="51"/>
      <c r="FS17" s="66"/>
      <c r="FT17" s="71"/>
      <c r="FU17" s="66"/>
      <c r="FV17" s="66"/>
      <c r="FW17" s="51"/>
      <c r="FX17" s="51"/>
      <c r="FY17" s="66"/>
      <c r="FZ17" s="24"/>
      <c r="GA17" s="24"/>
      <c r="GB17" s="66"/>
      <c r="GC17" s="24"/>
      <c r="GD17" s="24"/>
      <c r="GE17" s="66"/>
      <c r="GF17" s="24"/>
      <c r="GG17" s="24"/>
      <c r="GH17" s="66"/>
      <c r="GI17" s="24"/>
      <c r="GJ17" s="24"/>
      <c r="GK17" s="68"/>
      <c r="GL17" s="69"/>
      <c r="GM17" s="68"/>
      <c r="GN17" s="65"/>
      <c r="GO17" s="55"/>
      <c r="GP17" s="66"/>
      <c r="GQ17" s="66"/>
      <c r="GR17" s="62"/>
    </row>
    <row r="18" spans="1:200" x14ac:dyDescent="0.3">
      <c r="A18" s="55"/>
      <c r="B18" s="59"/>
      <c r="C18" s="59"/>
      <c r="D18" s="59"/>
      <c r="E18" s="59"/>
      <c r="F18" s="59"/>
      <c r="G18" s="59"/>
      <c r="H18" s="59"/>
      <c r="I18" s="59"/>
      <c r="J18" s="68"/>
      <c r="K18" s="59"/>
      <c r="L18" s="59"/>
      <c r="M18" s="68"/>
      <c r="N18" s="59"/>
      <c r="O18" s="59"/>
      <c r="P18" s="68"/>
      <c r="Q18" s="59"/>
      <c r="R18" s="59"/>
      <c r="S18" s="68"/>
      <c r="T18" s="59"/>
      <c r="U18" s="59"/>
      <c r="V18" s="68"/>
      <c r="W18" s="59"/>
      <c r="X18" s="59"/>
      <c r="Y18" s="68"/>
      <c r="Z18" s="59"/>
      <c r="AA18" s="59"/>
      <c r="AB18" s="68"/>
      <c r="AC18" s="59"/>
      <c r="AD18" s="59"/>
      <c r="AE18" s="68"/>
      <c r="AF18" s="59"/>
      <c r="AG18" s="59"/>
      <c r="AH18" s="68"/>
      <c r="AI18" s="59"/>
      <c r="AJ18" s="59"/>
      <c r="AK18" s="68"/>
      <c r="AL18" s="59"/>
      <c r="AM18" s="59"/>
      <c r="AN18" s="68"/>
      <c r="AO18" s="59"/>
      <c r="AP18" s="59"/>
      <c r="AQ18" s="68"/>
      <c r="AR18" s="59"/>
      <c r="AS18" s="59"/>
      <c r="AT18" s="68"/>
      <c r="AU18" s="59"/>
      <c r="AV18" s="59"/>
      <c r="AW18" s="68"/>
      <c r="AX18" s="59"/>
      <c r="AY18" s="59"/>
      <c r="AZ18" s="68"/>
      <c r="BA18" s="59"/>
      <c r="BB18" s="59"/>
      <c r="BC18" s="68"/>
      <c r="BD18" s="59"/>
      <c r="BE18" s="59"/>
      <c r="BF18" s="68"/>
      <c r="BG18" s="59"/>
      <c r="BH18" s="59"/>
      <c r="BI18" s="68"/>
      <c r="BJ18" s="59"/>
      <c r="BK18" s="59"/>
      <c r="BL18" s="68"/>
      <c r="BM18" s="59"/>
      <c r="BN18" s="59"/>
      <c r="BO18" s="68"/>
      <c r="BP18" s="59"/>
      <c r="BQ18" s="59"/>
      <c r="BR18" s="68"/>
      <c r="BS18" s="59"/>
      <c r="BT18" s="59"/>
      <c r="BU18" s="68"/>
      <c r="BV18" s="59"/>
      <c r="BW18" s="59"/>
      <c r="BX18" s="68"/>
      <c r="BY18" s="59"/>
      <c r="BZ18" s="59"/>
      <c r="CA18" s="68"/>
      <c r="CB18" s="59"/>
      <c r="CC18" s="59"/>
      <c r="CD18" s="68"/>
      <c r="CE18" s="59"/>
      <c r="CF18" s="59"/>
      <c r="CG18" s="68"/>
      <c r="CH18" s="59"/>
      <c r="CI18" s="59"/>
      <c r="CJ18" s="68"/>
      <c r="CK18" s="59"/>
      <c r="CL18" s="59"/>
      <c r="CM18" s="68"/>
      <c r="CN18" s="59"/>
      <c r="CO18" s="59"/>
      <c r="CP18" s="68"/>
      <c r="CQ18" s="59"/>
      <c r="CR18" s="59"/>
      <c r="CS18" s="55"/>
      <c r="CT18" s="59"/>
      <c r="CU18" s="55"/>
      <c r="CV18" s="65"/>
      <c r="CW18" s="59"/>
      <c r="CX18" s="59"/>
      <c r="CY18" s="68"/>
      <c r="CZ18" s="59"/>
      <c r="DA18" s="59"/>
      <c r="DB18" s="68"/>
      <c r="DC18" s="59"/>
      <c r="DD18" s="59"/>
      <c r="DE18" s="68"/>
      <c r="DF18" s="59"/>
      <c r="DG18" s="59"/>
      <c r="DH18" s="68"/>
      <c r="DI18" s="59"/>
      <c r="DJ18" s="59"/>
      <c r="DK18" s="55"/>
      <c r="DL18" s="59"/>
      <c r="DM18" s="59"/>
      <c r="DN18" s="68"/>
      <c r="DO18" s="59"/>
      <c r="DP18" s="59"/>
      <c r="DQ18" s="68"/>
      <c r="DR18" s="59"/>
      <c r="DS18" s="59"/>
      <c r="DT18" s="68"/>
      <c r="DU18" s="59"/>
      <c r="DV18" s="59"/>
      <c r="DW18" s="68"/>
      <c r="DX18" s="59"/>
      <c r="DY18" s="59"/>
      <c r="DZ18" s="68"/>
      <c r="EA18" s="59"/>
      <c r="EB18" s="59"/>
      <c r="EC18" s="68"/>
      <c r="ED18" s="59"/>
      <c r="EE18" s="59"/>
      <c r="EF18" s="68"/>
      <c r="EG18" s="59"/>
      <c r="EH18" s="59"/>
      <c r="EI18" s="68"/>
      <c r="EJ18" s="59"/>
      <c r="EK18" s="59"/>
      <c r="EL18" s="68"/>
      <c r="EM18" s="59"/>
      <c r="EN18" s="59"/>
      <c r="EO18" s="68"/>
      <c r="EP18" s="59"/>
      <c r="EQ18" s="59"/>
      <c r="ER18" s="68"/>
      <c r="ES18" s="59"/>
      <c r="ET18" s="59"/>
      <c r="EU18" s="68"/>
      <c r="EV18" s="59"/>
      <c r="EW18" s="59"/>
      <c r="EX18" s="68"/>
      <c r="EY18" s="59"/>
      <c r="EZ18" s="59"/>
      <c r="FA18" s="68"/>
      <c r="FB18" s="59"/>
      <c r="FC18" s="59"/>
      <c r="FD18" s="55"/>
      <c r="FE18" s="59"/>
      <c r="FF18" s="55"/>
      <c r="FG18" s="68"/>
      <c r="FH18" s="59"/>
      <c r="FI18" s="59"/>
      <c r="FJ18" s="68"/>
      <c r="FK18" s="59"/>
      <c r="FL18" s="59"/>
      <c r="FM18" s="68"/>
      <c r="FN18" s="59"/>
      <c r="FO18" s="59"/>
      <c r="FP18" s="68"/>
      <c r="FQ18" s="59"/>
      <c r="FR18" s="59"/>
      <c r="FS18" s="55"/>
      <c r="FT18" s="59"/>
      <c r="FU18" s="55"/>
      <c r="FV18" s="68"/>
      <c r="FW18" s="59"/>
      <c r="FX18" s="59"/>
      <c r="FY18" s="68"/>
      <c r="FZ18" s="77"/>
      <c r="GA18" s="77"/>
      <c r="GB18" s="55"/>
      <c r="GC18" s="77"/>
      <c r="GD18" s="77"/>
      <c r="GE18" s="55"/>
      <c r="GF18" s="77"/>
      <c r="GG18" s="77"/>
      <c r="GH18" s="67"/>
      <c r="GI18" s="77"/>
      <c r="GJ18" s="77"/>
      <c r="GK18" s="121"/>
      <c r="GL18" s="77"/>
      <c r="GM18" s="121"/>
      <c r="GN18" s="77"/>
      <c r="GO18" s="66"/>
      <c r="GP18" s="55"/>
      <c r="GQ18" s="55"/>
      <c r="GR18" s="59"/>
    </row>
    <row r="19" spans="1:200" s="83" customFormat="1" ht="84" x14ac:dyDescent="0.3">
      <c r="A19" s="55"/>
      <c r="B19" s="132" t="s">
        <v>165</v>
      </c>
      <c r="C19" s="144" t="s">
        <v>226</v>
      </c>
      <c r="D19" s="11" t="s">
        <v>169</v>
      </c>
      <c r="E19" s="51">
        <v>2</v>
      </c>
      <c r="F19" s="135">
        <v>2006</v>
      </c>
      <c r="G19" s="59"/>
      <c r="H19" s="51"/>
      <c r="I19" s="51"/>
      <c r="J19" s="68"/>
      <c r="K19" s="51"/>
      <c r="L19" s="51"/>
      <c r="M19" s="68"/>
      <c r="N19" s="51"/>
      <c r="O19" s="51"/>
      <c r="P19" s="68"/>
      <c r="Q19" s="71"/>
      <c r="R19" s="71"/>
      <c r="S19" s="68"/>
      <c r="T19" s="51"/>
      <c r="U19" s="51"/>
      <c r="V19" s="68"/>
      <c r="W19" s="51"/>
      <c r="X19" s="51"/>
      <c r="Y19" s="68"/>
      <c r="Z19" s="51"/>
      <c r="AA19" s="51"/>
      <c r="AB19" s="68"/>
      <c r="AC19" s="51"/>
      <c r="AD19" s="51"/>
      <c r="AE19" s="68"/>
      <c r="AF19" s="51"/>
      <c r="AG19" s="51"/>
      <c r="AH19" s="68"/>
      <c r="AI19" s="51"/>
      <c r="AJ19" s="51"/>
      <c r="AK19" s="68"/>
      <c r="AL19" s="51"/>
      <c r="AM19" s="51"/>
      <c r="AN19" s="68"/>
      <c r="AO19" s="51"/>
      <c r="AP19" s="51"/>
      <c r="AQ19" s="68"/>
      <c r="AR19" s="51"/>
      <c r="AS19" s="51"/>
      <c r="AT19" s="68"/>
      <c r="AU19" s="51"/>
      <c r="AV19" s="51"/>
      <c r="AW19" s="68"/>
      <c r="AX19" s="51"/>
      <c r="AY19" s="51"/>
      <c r="AZ19" s="68"/>
      <c r="BA19" s="51"/>
      <c r="BB19" s="51"/>
      <c r="BC19" s="68"/>
      <c r="BD19" s="51"/>
      <c r="BE19" s="51"/>
      <c r="BF19" s="68"/>
      <c r="BG19" s="51"/>
      <c r="BH19" s="51"/>
      <c r="BI19" s="68"/>
      <c r="BJ19" s="51"/>
      <c r="BK19" s="51"/>
      <c r="BL19" s="68"/>
      <c r="BM19" s="51"/>
      <c r="BN19" s="51"/>
      <c r="BO19" s="68"/>
      <c r="BP19" s="51"/>
      <c r="BQ19" s="51"/>
      <c r="BR19" s="68"/>
      <c r="BS19" s="51"/>
      <c r="BT19" s="51"/>
      <c r="BU19" s="68"/>
      <c r="BV19" s="51"/>
      <c r="BW19" s="51"/>
      <c r="BX19" s="68"/>
      <c r="BY19" s="51"/>
      <c r="BZ19" s="51"/>
      <c r="CA19" s="68"/>
      <c r="CB19" s="51"/>
      <c r="CC19" s="51"/>
      <c r="CD19" s="68"/>
      <c r="CE19" s="51"/>
      <c r="CF19" s="51"/>
      <c r="CG19" s="68"/>
      <c r="CH19" s="71"/>
      <c r="CI19" s="71"/>
      <c r="CJ19" s="68"/>
      <c r="CK19" s="51"/>
      <c r="CL19" s="51"/>
      <c r="CM19" s="68"/>
      <c r="CN19" s="51"/>
      <c r="CO19" s="51"/>
      <c r="CP19" s="68"/>
      <c r="CQ19" s="51"/>
      <c r="CR19" s="51"/>
      <c r="CS19" s="66"/>
      <c r="CT19" s="71"/>
      <c r="CU19" s="66"/>
      <c r="CV19" s="65"/>
      <c r="CW19" s="51"/>
      <c r="CX19" s="51"/>
      <c r="CY19" s="68"/>
      <c r="CZ19" s="51"/>
      <c r="DA19" s="51"/>
      <c r="DB19" s="68"/>
      <c r="DC19" s="51"/>
      <c r="DD19" s="51"/>
      <c r="DE19" s="68"/>
      <c r="DF19" s="51"/>
      <c r="DG19" s="51"/>
      <c r="DH19" s="68"/>
      <c r="DI19" s="51"/>
      <c r="DJ19" s="51"/>
      <c r="DK19" s="66"/>
      <c r="DL19" s="51"/>
      <c r="DM19" s="51"/>
      <c r="DN19" s="68"/>
      <c r="DO19" s="71"/>
      <c r="DP19" s="71"/>
      <c r="DQ19" s="68"/>
      <c r="DR19" s="51"/>
      <c r="DS19" s="51"/>
      <c r="DT19" s="68"/>
      <c r="DU19" s="51"/>
      <c r="DV19" s="51"/>
      <c r="DW19" s="68"/>
      <c r="DX19" s="51"/>
      <c r="DY19" s="51"/>
      <c r="DZ19" s="68"/>
      <c r="EA19" s="71"/>
      <c r="EB19" s="71"/>
      <c r="EC19" s="68"/>
      <c r="ED19" s="51"/>
      <c r="EE19" s="51"/>
      <c r="EF19" s="68"/>
      <c r="EG19" s="51"/>
      <c r="EH19" s="51"/>
      <c r="EI19" s="68"/>
      <c r="EJ19" s="51"/>
      <c r="EK19" s="51"/>
      <c r="EL19" s="68"/>
      <c r="EM19" s="51"/>
      <c r="EN19" s="51"/>
      <c r="EO19" s="68"/>
      <c r="EP19" s="51"/>
      <c r="EQ19" s="51"/>
      <c r="ER19" s="68"/>
      <c r="ES19" s="71"/>
      <c r="ET19" s="71"/>
      <c r="EU19" s="68"/>
      <c r="EV19" s="24">
        <f>((93*52)*Q3)*(27040/20800)</f>
        <v>8235.7080000000005</v>
      </c>
      <c r="EW19" s="24" t="s">
        <v>79</v>
      </c>
      <c r="EX19" s="68"/>
      <c r="EY19" s="51"/>
      <c r="EZ19" s="51"/>
      <c r="FA19" s="68"/>
      <c r="FB19" s="51"/>
      <c r="FC19" s="51"/>
      <c r="FD19" s="66"/>
      <c r="FE19" s="71"/>
      <c r="FF19" s="66"/>
      <c r="FG19" s="68"/>
      <c r="FH19" s="51"/>
      <c r="FI19" s="51"/>
      <c r="FJ19" s="68"/>
      <c r="FK19" s="51"/>
      <c r="FL19" s="51"/>
      <c r="FM19" s="68"/>
      <c r="FN19" s="51"/>
      <c r="FO19" s="51"/>
      <c r="FP19" s="68"/>
      <c r="FQ19" s="51"/>
      <c r="FR19" s="51"/>
      <c r="FS19" s="66"/>
      <c r="FT19" s="71"/>
      <c r="FU19" s="66"/>
      <c r="FV19" s="68"/>
      <c r="FW19" s="51"/>
      <c r="FX19" s="51"/>
      <c r="FY19" s="68"/>
      <c r="FZ19" s="24">
        <f>((237*52)*Q3)*(27040/20800)</f>
        <v>20987.772000000001</v>
      </c>
      <c r="GA19" s="24" t="s">
        <v>79</v>
      </c>
      <c r="GB19" s="66"/>
      <c r="GC19" s="24">
        <f>((46*52)*Q3)*(27040/20800)</f>
        <v>4073.576</v>
      </c>
      <c r="GD19" s="24" t="s">
        <v>79</v>
      </c>
      <c r="GE19" s="66"/>
      <c r="GF19" s="24">
        <f>((40*52)*Q3)*(27040/20800)</f>
        <v>3542.2400000000002</v>
      </c>
      <c r="GG19" s="24" t="s">
        <v>79</v>
      </c>
      <c r="GH19" s="66"/>
      <c r="GI19" s="24">
        <f>((42*52)*Q3)*(27040/20800)</f>
        <v>3719.3519999999999</v>
      </c>
      <c r="GJ19" s="24" t="s">
        <v>79</v>
      </c>
      <c r="GK19" s="68"/>
      <c r="GL19" s="69"/>
      <c r="GM19" s="68"/>
      <c r="GN19" s="65"/>
      <c r="GO19" s="55"/>
      <c r="GP19" s="66"/>
      <c r="GQ19" s="66"/>
      <c r="GR19" s="62"/>
    </row>
    <row r="20" spans="1:200" s="83" customFormat="1" ht="28" x14ac:dyDescent="0.3">
      <c r="A20" s="55"/>
      <c r="B20" s="133"/>
      <c r="C20" s="136"/>
      <c r="D20" s="11" t="s">
        <v>168</v>
      </c>
      <c r="E20" s="51">
        <v>2</v>
      </c>
      <c r="F20" s="136"/>
      <c r="G20" s="59"/>
      <c r="H20" s="51"/>
      <c r="I20" s="51"/>
      <c r="J20" s="68"/>
      <c r="K20" s="51"/>
      <c r="L20" s="51"/>
      <c r="M20" s="68"/>
      <c r="N20" s="51"/>
      <c r="O20" s="51"/>
      <c r="P20" s="68"/>
      <c r="Q20" s="71"/>
      <c r="R20" s="71"/>
      <c r="S20" s="68"/>
      <c r="T20" s="51"/>
      <c r="U20" s="51"/>
      <c r="V20" s="68"/>
      <c r="W20" s="51"/>
      <c r="X20" s="51"/>
      <c r="Y20" s="68"/>
      <c r="Z20" s="51"/>
      <c r="AA20" s="51"/>
      <c r="AB20" s="68"/>
      <c r="AC20" s="51"/>
      <c r="AD20" s="51"/>
      <c r="AE20" s="68"/>
      <c r="AF20" s="51"/>
      <c r="AG20" s="51"/>
      <c r="AH20" s="68"/>
      <c r="AI20" s="51"/>
      <c r="AJ20" s="51"/>
      <c r="AK20" s="68"/>
      <c r="AL20" s="51"/>
      <c r="AM20" s="51"/>
      <c r="AN20" s="68"/>
      <c r="AO20" s="51"/>
      <c r="AP20" s="51"/>
      <c r="AQ20" s="68"/>
      <c r="AR20" s="51"/>
      <c r="AS20" s="51"/>
      <c r="AT20" s="68"/>
      <c r="AU20" s="51"/>
      <c r="AV20" s="51"/>
      <c r="AW20" s="68"/>
      <c r="AX20" s="51"/>
      <c r="AY20" s="51"/>
      <c r="AZ20" s="68"/>
      <c r="BA20" s="51"/>
      <c r="BB20" s="51"/>
      <c r="BC20" s="68"/>
      <c r="BD20" s="51"/>
      <c r="BE20" s="51"/>
      <c r="BF20" s="68"/>
      <c r="BG20" s="51"/>
      <c r="BH20" s="51"/>
      <c r="BI20" s="68"/>
      <c r="BJ20" s="51"/>
      <c r="BK20" s="51"/>
      <c r="BL20" s="68"/>
      <c r="BM20" s="51"/>
      <c r="BN20" s="51"/>
      <c r="BO20" s="68"/>
      <c r="BP20" s="51"/>
      <c r="BQ20" s="51"/>
      <c r="BR20" s="68"/>
      <c r="BS20" s="51"/>
      <c r="BT20" s="51"/>
      <c r="BU20" s="68"/>
      <c r="BV20" s="51"/>
      <c r="BW20" s="51"/>
      <c r="BX20" s="68"/>
      <c r="BY20" s="51"/>
      <c r="BZ20" s="51"/>
      <c r="CA20" s="68"/>
      <c r="CB20" s="51"/>
      <c r="CC20" s="51"/>
      <c r="CD20" s="68"/>
      <c r="CE20" s="51"/>
      <c r="CF20" s="51"/>
      <c r="CG20" s="68"/>
      <c r="CH20" s="71"/>
      <c r="CI20" s="71"/>
      <c r="CJ20" s="68"/>
      <c r="CK20" s="51"/>
      <c r="CL20" s="51"/>
      <c r="CM20" s="68"/>
      <c r="CN20" s="51"/>
      <c r="CO20" s="51"/>
      <c r="CP20" s="68"/>
      <c r="CQ20" s="51"/>
      <c r="CR20" s="51"/>
      <c r="CS20" s="66"/>
      <c r="CT20" s="71"/>
      <c r="CU20" s="66"/>
      <c r="CV20" s="65"/>
      <c r="CW20" s="51"/>
      <c r="CX20" s="51"/>
      <c r="CY20" s="68"/>
      <c r="CZ20" s="51"/>
      <c r="DA20" s="51"/>
      <c r="DB20" s="68"/>
      <c r="DC20" s="51"/>
      <c r="DD20" s="51"/>
      <c r="DE20" s="68"/>
      <c r="DF20" s="51"/>
      <c r="DG20" s="51"/>
      <c r="DH20" s="68"/>
      <c r="DI20" s="51"/>
      <c r="DJ20" s="51"/>
      <c r="DK20" s="66"/>
      <c r="DL20" s="51"/>
      <c r="DM20" s="51"/>
      <c r="DN20" s="68"/>
      <c r="DO20" s="71"/>
      <c r="DP20" s="71"/>
      <c r="DQ20" s="68"/>
      <c r="DR20" s="51"/>
      <c r="DS20" s="51"/>
      <c r="DT20" s="68"/>
      <c r="DU20" s="51"/>
      <c r="DV20" s="51"/>
      <c r="DW20" s="68"/>
      <c r="DX20" s="51"/>
      <c r="DY20" s="51"/>
      <c r="DZ20" s="68"/>
      <c r="EA20" s="71"/>
      <c r="EB20" s="71"/>
      <c r="EC20" s="68"/>
      <c r="ED20" s="51"/>
      <c r="EE20" s="51"/>
      <c r="EF20" s="68"/>
      <c r="EG20" s="51"/>
      <c r="EH20" s="51"/>
      <c r="EI20" s="68"/>
      <c r="EJ20" s="51"/>
      <c r="EK20" s="51"/>
      <c r="EL20" s="68"/>
      <c r="EM20" s="51"/>
      <c r="EN20" s="51"/>
      <c r="EO20" s="68"/>
      <c r="EP20" s="51"/>
      <c r="EQ20" s="51"/>
      <c r="ER20" s="68"/>
      <c r="ES20" s="71"/>
      <c r="ET20" s="71"/>
      <c r="EU20" s="68"/>
      <c r="EV20" s="24">
        <f>((93*52)*Q3)*(27040/20800)</f>
        <v>8235.7080000000005</v>
      </c>
      <c r="EW20" s="24" t="s">
        <v>79</v>
      </c>
      <c r="EX20" s="68"/>
      <c r="EY20" s="51"/>
      <c r="EZ20" s="51"/>
      <c r="FA20" s="68"/>
      <c r="FB20" s="51"/>
      <c r="FC20" s="51"/>
      <c r="FD20" s="66"/>
      <c r="FE20" s="71"/>
      <c r="FF20" s="66"/>
      <c r="FG20" s="68"/>
      <c r="FH20" s="51"/>
      <c r="FI20" s="51"/>
      <c r="FJ20" s="68"/>
      <c r="FK20" s="51"/>
      <c r="FL20" s="51"/>
      <c r="FM20" s="68"/>
      <c r="FN20" s="51"/>
      <c r="FO20" s="51"/>
      <c r="FP20" s="68"/>
      <c r="FQ20" s="51"/>
      <c r="FR20" s="51"/>
      <c r="FS20" s="66"/>
      <c r="FT20" s="71"/>
      <c r="FU20" s="66"/>
      <c r="FV20" s="68"/>
      <c r="FW20" s="51"/>
      <c r="FX20" s="51"/>
      <c r="FY20" s="68"/>
      <c r="FZ20" s="24">
        <f>((185*52)*Q3)*(27040/20800)</f>
        <v>16382.860000000002</v>
      </c>
      <c r="GA20" s="24" t="s">
        <v>79</v>
      </c>
      <c r="GB20" s="66"/>
      <c r="GC20" s="24">
        <f>((33*52)*Q3)*(27040/20800)</f>
        <v>2922.348</v>
      </c>
      <c r="GD20" s="24" t="s">
        <v>79</v>
      </c>
      <c r="GE20" s="66"/>
      <c r="GF20" s="24">
        <f>((28*52)*Q3)*(27040/20800)</f>
        <v>2479.5680000000002</v>
      </c>
      <c r="GG20" s="24" t="s">
        <v>79</v>
      </c>
      <c r="GH20" s="67"/>
      <c r="GI20" s="24">
        <f>((34*52)*Q3)*(27040/20800)</f>
        <v>3010.904</v>
      </c>
      <c r="GJ20" s="24" t="s">
        <v>79</v>
      </c>
      <c r="GK20" s="68"/>
      <c r="GL20" s="69"/>
      <c r="GM20" s="68"/>
      <c r="GN20" s="65"/>
      <c r="GO20" s="66"/>
      <c r="GP20" s="66"/>
      <c r="GQ20" s="66"/>
      <c r="GR20" s="62"/>
    </row>
    <row r="21" spans="1:200" s="83" customFormat="1" x14ac:dyDescent="0.3">
      <c r="A21" s="55"/>
      <c r="B21" s="133"/>
      <c r="C21" s="136"/>
      <c r="D21" s="11" t="s">
        <v>166</v>
      </c>
      <c r="E21" s="51">
        <v>2</v>
      </c>
      <c r="F21" s="136"/>
      <c r="G21" s="59"/>
      <c r="H21" s="51"/>
      <c r="I21" s="51"/>
      <c r="J21" s="68"/>
      <c r="K21" s="51"/>
      <c r="L21" s="51"/>
      <c r="M21" s="68"/>
      <c r="N21" s="51"/>
      <c r="O21" s="51"/>
      <c r="P21" s="68"/>
      <c r="Q21" s="71"/>
      <c r="R21" s="71"/>
      <c r="S21" s="68"/>
      <c r="T21" s="51"/>
      <c r="U21" s="51"/>
      <c r="V21" s="68"/>
      <c r="W21" s="51"/>
      <c r="X21" s="51"/>
      <c r="Y21" s="68"/>
      <c r="Z21" s="51"/>
      <c r="AA21" s="51"/>
      <c r="AB21" s="68"/>
      <c r="AC21" s="51"/>
      <c r="AD21" s="51"/>
      <c r="AE21" s="68"/>
      <c r="AF21" s="51"/>
      <c r="AG21" s="51"/>
      <c r="AH21" s="68"/>
      <c r="AI21" s="51"/>
      <c r="AJ21" s="51"/>
      <c r="AK21" s="68"/>
      <c r="AL21" s="51"/>
      <c r="AM21" s="51"/>
      <c r="AN21" s="68"/>
      <c r="AO21" s="51"/>
      <c r="AP21" s="51"/>
      <c r="AQ21" s="68"/>
      <c r="AR21" s="51"/>
      <c r="AS21" s="51"/>
      <c r="AT21" s="68"/>
      <c r="AU21" s="51"/>
      <c r="AV21" s="51"/>
      <c r="AW21" s="68"/>
      <c r="AX21" s="51"/>
      <c r="AY21" s="51"/>
      <c r="AZ21" s="68"/>
      <c r="BA21" s="51"/>
      <c r="BB21" s="51"/>
      <c r="BC21" s="68"/>
      <c r="BD21" s="51"/>
      <c r="BE21" s="51"/>
      <c r="BF21" s="68"/>
      <c r="BG21" s="51"/>
      <c r="BH21" s="51"/>
      <c r="BI21" s="68"/>
      <c r="BJ21" s="51"/>
      <c r="BK21" s="51"/>
      <c r="BL21" s="68"/>
      <c r="BM21" s="51"/>
      <c r="BN21" s="51"/>
      <c r="BO21" s="68"/>
      <c r="BP21" s="51"/>
      <c r="BQ21" s="51"/>
      <c r="BR21" s="68"/>
      <c r="BS21" s="51"/>
      <c r="BT21" s="51"/>
      <c r="BU21" s="68"/>
      <c r="BV21" s="51"/>
      <c r="BW21" s="51"/>
      <c r="BX21" s="68"/>
      <c r="BY21" s="51"/>
      <c r="BZ21" s="51"/>
      <c r="CA21" s="68"/>
      <c r="CB21" s="51"/>
      <c r="CC21" s="51"/>
      <c r="CD21" s="68"/>
      <c r="CE21" s="51"/>
      <c r="CF21" s="51"/>
      <c r="CG21" s="68"/>
      <c r="CH21" s="71"/>
      <c r="CI21" s="71"/>
      <c r="CJ21" s="68"/>
      <c r="CK21" s="51"/>
      <c r="CL21" s="51"/>
      <c r="CM21" s="68"/>
      <c r="CN21" s="51"/>
      <c r="CO21" s="51"/>
      <c r="CP21" s="68"/>
      <c r="CQ21" s="51"/>
      <c r="CR21" s="51"/>
      <c r="CS21" s="66"/>
      <c r="CT21" s="71"/>
      <c r="CU21" s="66"/>
      <c r="CV21" s="65"/>
      <c r="CW21" s="51"/>
      <c r="CX21" s="51"/>
      <c r="CY21" s="68"/>
      <c r="CZ21" s="51"/>
      <c r="DA21" s="51"/>
      <c r="DB21" s="68"/>
      <c r="DC21" s="51"/>
      <c r="DD21" s="51"/>
      <c r="DE21" s="68"/>
      <c r="DF21" s="51"/>
      <c r="DG21" s="51"/>
      <c r="DH21" s="68"/>
      <c r="DI21" s="51"/>
      <c r="DJ21" s="51"/>
      <c r="DK21" s="66"/>
      <c r="DL21" s="51"/>
      <c r="DM21" s="51"/>
      <c r="DN21" s="68"/>
      <c r="DO21" s="71"/>
      <c r="DP21" s="71"/>
      <c r="DQ21" s="68"/>
      <c r="DR21" s="51"/>
      <c r="DS21" s="51"/>
      <c r="DT21" s="68"/>
      <c r="DU21" s="51"/>
      <c r="DV21" s="51"/>
      <c r="DW21" s="68"/>
      <c r="DX21" s="51"/>
      <c r="DY21" s="51"/>
      <c r="DZ21" s="68"/>
      <c r="EA21" s="71"/>
      <c r="EB21" s="71"/>
      <c r="EC21" s="68"/>
      <c r="ED21" s="51"/>
      <c r="EE21" s="51"/>
      <c r="EF21" s="68"/>
      <c r="EG21" s="51"/>
      <c r="EH21" s="51"/>
      <c r="EI21" s="68"/>
      <c r="EJ21" s="51"/>
      <c r="EK21" s="51"/>
      <c r="EL21" s="68"/>
      <c r="EM21" s="51"/>
      <c r="EN21" s="51"/>
      <c r="EO21" s="68"/>
      <c r="EP21" s="51"/>
      <c r="EQ21" s="51"/>
      <c r="ER21" s="68"/>
      <c r="ES21" s="71"/>
      <c r="ET21" s="71"/>
      <c r="EU21" s="68"/>
      <c r="EV21" s="24">
        <f>0</f>
        <v>0</v>
      </c>
      <c r="EW21" s="24" t="s">
        <v>79</v>
      </c>
      <c r="EX21" s="68"/>
      <c r="EY21" s="51"/>
      <c r="EZ21" s="51"/>
      <c r="FA21" s="68"/>
      <c r="FB21" s="51"/>
      <c r="FC21" s="51"/>
      <c r="FD21" s="66"/>
      <c r="FE21" s="71"/>
      <c r="FF21" s="66"/>
      <c r="FG21" s="68"/>
      <c r="FH21" s="51"/>
      <c r="FI21" s="51"/>
      <c r="FJ21" s="68"/>
      <c r="FK21" s="51"/>
      <c r="FL21" s="51"/>
      <c r="FM21" s="68"/>
      <c r="FN21" s="51"/>
      <c r="FO21" s="51"/>
      <c r="FP21" s="68"/>
      <c r="FQ21" s="51"/>
      <c r="FR21" s="51"/>
      <c r="FS21" s="66"/>
      <c r="FT21" s="71"/>
      <c r="FU21" s="66"/>
      <c r="FV21" s="68"/>
      <c r="FW21" s="51"/>
      <c r="FX21" s="51"/>
      <c r="FY21" s="68"/>
      <c r="FZ21" s="24">
        <f>((124*52)*Q3)*(27040/20800)</f>
        <v>10980.944000000001</v>
      </c>
      <c r="GA21" s="24" t="s">
        <v>79</v>
      </c>
      <c r="GB21" s="66"/>
      <c r="GC21" s="24">
        <f>((14*52)*Q3)*(27040/20800)</f>
        <v>1239.7840000000001</v>
      </c>
      <c r="GD21" s="24" t="s">
        <v>79</v>
      </c>
      <c r="GE21" s="66"/>
      <c r="GF21" s="24">
        <f>((43*52)*Q3)*(27040/20800)</f>
        <v>3807.9080000000004</v>
      </c>
      <c r="GG21" s="24" t="s">
        <v>79</v>
      </c>
      <c r="GH21" s="66"/>
      <c r="GI21" s="24">
        <f>((19*52)*Q3)*(27040/20800)</f>
        <v>1682.5640000000001</v>
      </c>
      <c r="GJ21" s="24" t="s">
        <v>79</v>
      </c>
      <c r="GK21" s="68"/>
      <c r="GL21" s="69"/>
      <c r="GM21" s="68"/>
      <c r="GN21" s="65"/>
      <c r="GO21" s="66"/>
      <c r="GP21" s="66"/>
      <c r="GQ21" s="68"/>
      <c r="GR21" s="62"/>
    </row>
    <row r="22" spans="1:200" s="83" customFormat="1" x14ac:dyDescent="0.3">
      <c r="A22" s="55"/>
      <c r="B22" s="133"/>
      <c r="C22" s="136"/>
      <c r="D22" s="11" t="s">
        <v>167</v>
      </c>
      <c r="E22" s="51">
        <v>2</v>
      </c>
      <c r="F22" s="136"/>
      <c r="G22" s="59"/>
      <c r="H22" s="51"/>
      <c r="I22" s="51"/>
      <c r="J22" s="68"/>
      <c r="K22" s="51"/>
      <c r="L22" s="51"/>
      <c r="M22" s="68"/>
      <c r="N22" s="51"/>
      <c r="O22" s="51"/>
      <c r="P22" s="68"/>
      <c r="Q22" s="71"/>
      <c r="R22" s="71"/>
      <c r="S22" s="68"/>
      <c r="T22" s="51"/>
      <c r="U22" s="51"/>
      <c r="V22" s="68"/>
      <c r="W22" s="51"/>
      <c r="X22" s="51"/>
      <c r="Y22" s="68"/>
      <c r="Z22" s="51"/>
      <c r="AA22" s="51"/>
      <c r="AB22" s="68"/>
      <c r="AC22" s="51"/>
      <c r="AD22" s="51"/>
      <c r="AE22" s="68"/>
      <c r="AF22" s="51"/>
      <c r="AG22" s="51"/>
      <c r="AH22" s="68"/>
      <c r="AI22" s="51"/>
      <c r="AJ22" s="51"/>
      <c r="AK22" s="68"/>
      <c r="AL22" s="51"/>
      <c r="AM22" s="51"/>
      <c r="AN22" s="68"/>
      <c r="AO22" s="51"/>
      <c r="AP22" s="51"/>
      <c r="AQ22" s="68"/>
      <c r="AR22" s="51"/>
      <c r="AS22" s="51"/>
      <c r="AT22" s="68"/>
      <c r="AU22" s="51"/>
      <c r="AV22" s="51"/>
      <c r="AW22" s="68"/>
      <c r="AX22" s="51"/>
      <c r="AY22" s="51"/>
      <c r="AZ22" s="68"/>
      <c r="BA22" s="51"/>
      <c r="BB22" s="51"/>
      <c r="BC22" s="68"/>
      <c r="BD22" s="51"/>
      <c r="BE22" s="51"/>
      <c r="BF22" s="68"/>
      <c r="BG22" s="51"/>
      <c r="BH22" s="51"/>
      <c r="BI22" s="68"/>
      <c r="BJ22" s="51"/>
      <c r="BK22" s="51"/>
      <c r="BL22" s="68"/>
      <c r="BM22" s="51"/>
      <c r="BN22" s="51"/>
      <c r="BO22" s="68"/>
      <c r="BP22" s="51"/>
      <c r="BQ22" s="51"/>
      <c r="BR22" s="68"/>
      <c r="BS22" s="51"/>
      <c r="BT22" s="51"/>
      <c r="BU22" s="68"/>
      <c r="BV22" s="51"/>
      <c r="BW22" s="51"/>
      <c r="BX22" s="68"/>
      <c r="BY22" s="51"/>
      <c r="BZ22" s="51"/>
      <c r="CA22" s="68"/>
      <c r="CB22" s="51"/>
      <c r="CC22" s="51"/>
      <c r="CD22" s="68"/>
      <c r="CE22" s="51"/>
      <c r="CF22" s="51"/>
      <c r="CG22" s="68"/>
      <c r="CH22" s="71"/>
      <c r="CI22" s="71"/>
      <c r="CJ22" s="68"/>
      <c r="CK22" s="51"/>
      <c r="CL22" s="51"/>
      <c r="CM22" s="68"/>
      <c r="CN22" s="51"/>
      <c r="CO22" s="51"/>
      <c r="CP22" s="68"/>
      <c r="CQ22" s="51"/>
      <c r="CR22" s="51"/>
      <c r="CS22" s="66"/>
      <c r="CT22" s="71"/>
      <c r="CU22" s="66"/>
      <c r="CV22" s="65"/>
      <c r="CW22" s="51"/>
      <c r="CX22" s="51"/>
      <c r="CY22" s="68"/>
      <c r="CZ22" s="51"/>
      <c r="DA22" s="51"/>
      <c r="DB22" s="68"/>
      <c r="DC22" s="51"/>
      <c r="DD22" s="51"/>
      <c r="DE22" s="68"/>
      <c r="DF22" s="51"/>
      <c r="DG22" s="51"/>
      <c r="DH22" s="68"/>
      <c r="DI22" s="51"/>
      <c r="DJ22" s="51"/>
      <c r="DK22" s="66"/>
      <c r="DL22" s="51"/>
      <c r="DM22" s="51"/>
      <c r="DN22" s="68"/>
      <c r="DO22" s="71"/>
      <c r="DP22" s="71"/>
      <c r="DQ22" s="68"/>
      <c r="DR22" s="51"/>
      <c r="DS22" s="51"/>
      <c r="DT22" s="68"/>
      <c r="DU22" s="51"/>
      <c r="DV22" s="51"/>
      <c r="DW22" s="68"/>
      <c r="DX22" s="51"/>
      <c r="DY22" s="51"/>
      <c r="DZ22" s="68"/>
      <c r="EA22" s="71"/>
      <c r="EB22" s="71"/>
      <c r="EC22" s="68"/>
      <c r="ED22" s="51"/>
      <c r="EE22" s="51"/>
      <c r="EF22" s="68"/>
      <c r="EG22" s="51"/>
      <c r="EH22" s="51"/>
      <c r="EI22" s="68"/>
      <c r="EJ22" s="51"/>
      <c r="EK22" s="51"/>
      <c r="EL22" s="68"/>
      <c r="EM22" s="51"/>
      <c r="EN22" s="51"/>
      <c r="EO22" s="68"/>
      <c r="EP22" s="51"/>
      <c r="EQ22" s="51"/>
      <c r="ER22" s="68"/>
      <c r="ES22" s="71"/>
      <c r="ET22" s="71"/>
      <c r="EU22" s="68"/>
      <c r="EV22" s="24">
        <f>0</f>
        <v>0</v>
      </c>
      <c r="EW22" s="24" t="s">
        <v>79</v>
      </c>
      <c r="EX22" s="68"/>
      <c r="EY22" s="51"/>
      <c r="EZ22" s="51"/>
      <c r="FA22" s="68"/>
      <c r="FB22" s="51"/>
      <c r="FC22" s="51"/>
      <c r="FD22" s="66"/>
      <c r="FE22" s="71"/>
      <c r="FF22" s="66"/>
      <c r="FG22" s="68"/>
      <c r="FH22" s="51"/>
      <c r="FI22" s="51"/>
      <c r="FJ22" s="68"/>
      <c r="FK22" s="51"/>
      <c r="FL22" s="51"/>
      <c r="FM22" s="68"/>
      <c r="FN22" s="51"/>
      <c r="FO22" s="51"/>
      <c r="FP22" s="68"/>
      <c r="FQ22" s="51"/>
      <c r="FR22" s="51"/>
      <c r="FS22" s="66"/>
      <c r="FT22" s="71"/>
      <c r="FU22" s="66"/>
      <c r="FV22" s="68"/>
      <c r="FW22" s="51"/>
      <c r="FX22" s="51"/>
      <c r="FY22" s="68"/>
      <c r="FZ22" s="24">
        <f>((97*52)*Q3)*(27040/20800)</f>
        <v>8589.9320000000007</v>
      </c>
      <c r="GA22" s="24" t="s">
        <v>79</v>
      </c>
      <c r="GB22" s="66"/>
      <c r="GC22" s="24">
        <f>((11*52)*Q3)*(27040/20800)</f>
        <v>974.1160000000001</v>
      </c>
      <c r="GD22" s="24" t="s">
        <v>79</v>
      </c>
      <c r="GE22" s="66"/>
      <c r="GF22" s="24">
        <f>((34*52)*Q3)*(27040/20800)</f>
        <v>3010.904</v>
      </c>
      <c r="GG22" s="24" t="s">
        <v>79</v>
      </c>
      <c r="GH22" s="67"/>
      <c r="GI22" s="24">
        <f>((15*52)*Q3)*(27040/20800)</f>
        <v>1328.3400000000001</v>
      </c>
      <c r="GJ22" s="24" t="s">
        <v>79</v>
      </c>
      <c r="GK22" s="68"/>
      <c r="GL22" s="69"/>
      <c r="GM22" s="68"/>
      <c r="GN22" s="65"/>
      <c r="GO22" s="66"/>
      <c r="GP22" s="66"/>
      <c r="GQ22" s="68"/>
      <c r="GR22" s="62"/>
    </row>
    <row r="23" spans="1:200" x14ac:dyDescent="0.3">
      <c r="A23" s="55"/>
      <c r="B23" s="59"/>
      <c r="C23" s="59"/>
      <c r="D23" s="59"/>
      <c r="E23" s="59"/>
      <c r="F23" s="59"/>
      <c r="G23" s="59"/>
      <c r="H23" s="59"/>
      <c r="I23" s="59"/>
      <c r="J23" s="68"/>
      <c r="K23" s="59"/>
      <c r="L23" s="59"/>
      <c r="M23" s="68"/>
      <c r="N23" s="59"/>
      <c r="O23" s="59"/>
      <c r="P23" s="68"/>
      <c r="Q23" s="59"/>
      <c r="R23" s="59"/>
      <c r="S23" s="68"/>
      <c r="T23" s="59"/>
      <c r="U23" s="59"/>
      <c r="V23" s="68"/>
      <c r="W23" s="59"/>
      <c r="X23" s="59"/>
      <c r="Y23" s="68"/>
      <c r="Z23" s="59"/>
      <c r="AA23" s="59"/>
      <c r="AB23" s="68"/>
      <c r="AC23" s="59"/>
      <c r="AD23" s="59"/>
      <c r="AE23" s="68"/>
      <c r="AF23" s="59"/>
      <c r="AG23" s="59"/>
      <c r="AH23" s="68"/>
      <c r="AI23" s="59"/>
      <c r="AJ23" s="59"/>
      <c r="AK23" s="68"/>
      <c r="AL23" s="59"/>
      <c r="AM23" s="59"/>
      <c r="AN23" s="68"/>
      <c r="AO23" s="59"/>
      <c r="AP23" s="59"/>
      <c r="AQ23" s="68"/>
      <c r="AR23" s="59"/>
      <c r="AS23" s="59"/>
      <c r="AT23" s="68"/>
      <c r="AU23" s="59"/>
      <c r="AV23" s="59"/>
      <c r="AW23" s="68"/>
      <c r="AX23" s="59"/>
      <c r="AY23" s="59"/>
      <c r="AZ23" s="68"/>
      <c r="BA23" s="59"/>
      <c r="BB23" s="59"/>
      <c r="BC23" s="68"/>
      <c r="BD23" s="59"/>
      <c r="BE23" s="59"/>
      <c r="BF23" s="68"/>
      <c r="BG23" s="59"/>
      <c r="BH23" s="59"/>
      <c r="BI23" s="68"/>
      <c r="BJ23" s="59"/>
      <c r="BK23" s="59"/>
      <c r="BL23" s="68"/>
      <c r="BM23" s="59"/>
      <c r="BN23" s="59"/>
      <c r="BO23" s="68"/>
      <c r="BP23" s="59"/>
      <c r="BQ23" s="59"/>
      <c r="BR23" s="68"/>
      <c r="BS23" s="59"/>
      <c r="BT23" s="59"/>
      <c r="BU23" s="68"/>
      <c r="BV23" s="59"/>
      <c r="BW23" s="59"/>
      <c r="BX23" s="68"/>
      <c r="BY23" s="59"/>
      <c r="BZ23" s="59"/>
      <c r="CA23" s="68"/>
      <c r="CB23" s="59"/>
      <c r="CC23" s="59"/>
      <c r="CD23" s="68"/>
      <c r="CE23" s="59"/>
      <c r="CF23" s="59"/>
      <c r="CG23" s="68"/>
      <c r="CH23" s="59"/>
      <c r="CI23" s="59"/>
      <c r="CJ23" s="68"/>
      <c r="CK23" s="59"/>
      <c r="CL23" s="59"/>
      <c r="CM23" s="68"/>
      <c r="CN23" s="59"/>
      <c r="CO23" s="59"/>
      <c r="CP23" s="68"/>
      <c r="CQ23" s="59"/>
      <c r="CR23" s="59"/>
      <c r="CS23" s="55"/>
      <c r="CT23" s="59"/>
      <c r="CU23" s="55"/>
      <c r="CV23" s="65"/>
      <c r="CW23" s="59"/>
      <c r="CX23" s="59"/>
      <c r="CY23" s="68"/>
      <c r="CZ23" s="59"/>
      <c r="DA23" s="59"/>
      <c r="DB23" s="68"/>
      <c r="DC23" s="59"/>
      <c r="DD23" s="59"/>
      <c r="DE23" s="68"/>
      <c r="DF23" s="59"/>
      <c r="DG23" s="59"/>
      <c r="DH23" s="68"/>
      <c r="DI23" s="59"/>
      <c r="DJ23" s="59"/>
      <c r="DK23" s="55"/>
      <c r="DL23" s="59"/>
      <c r="DM23" s="59"/>
      <c r="DN23" s="68"/>
      <c r="DO23" s="59"/>
      <c r="DP23" s="59"/>
      <c r="DQ23" s="68"/>
      <c r="DR23" s="59"/>
      <c r="DS23" s="59"/>
      <c r="DT23" s="68"/>
      <c r="DU23" s="59"/>
      <c r="DV23" s="59"/>
      <c r="DW23" s="68"/>
      <c r="DX23" s="59"/>
      <c r="DY23" s="59"/>
      <c r="DZ23" s="68"/>
      <c r="EA23" s="59"/>
      <c r="EB23" s="59"/>
      <c r="EC23" s="68"/>
      <c r="ED23" s="59"/>
      <c r="EE23" s="59"/>
      <c r="EF23" s="68"/>
      <c r="EG23" s="59"/>
      <c r="EH23" s="59"/>
      <c r="EI23" s="68"/>
      <c r="EJ23" s="59"/>
      <c r="EK23" s="59"/>
      <c r="EL23" s="68"/>
      <c r="EM23" s="59"/>
      <c r="EN23" s="59"/>
      <c r="EO23" s="68"/>
      <c r="EP23" s="59"/>
      <c r="EQ23" s="59"/>
      <c r="ER23" s="68"/>
      <c r="ES23" s="59"/>
      <c r="ET23" s="59"/>
      <c r="EU23" s="68"/>
      <c r="EV23" s="59"/>
      <c r="EW23" s="59"/>
      <c r="EX23" s="68"/>
      <c r="EY23" s="59"/>
      <c r="EZ23" s="59"/>
      <c r="FA23" s="68"/>
      <c r="FB23" s="59"/>
      <c r="FC23" s="59"/>
      <c r="FD23" s="55"/>
      <c r="FE23" s="59"/>
      <c r="FF23" s="55"/>
      <c r="FG23" s="68"/>
      <c r="FH23" s="59"/>
      <c r="FI23" s="59"/>
      <c r="FJ23" s="68"/>
      <c r="FK23" s="59"/>
      <c r="FL23" s="59"/>
      <c r="FM23" s="68"/>
      <c r="FN23" s="59"/>
      <c r="FO23" s="59"/>
      <c r="FP23" s="68"/>
      <c r="FQ23" s="59"/>
      <c r="FR23" s="59"/>
      <c r="FS23" s="55"/>
      <c r="FT23" s="59"/>
      <c r="FU23" s="55"/>
      <c r="FV23" s="68"/>
      <c r="FW23" s="59"/>
      <c r="FX23" s="59"/>
      <c r="FY23" s="68"/>
      <c r="FZ23" s="59"/>
      <c r="GA23" s="59"/>
      <c r="GB23" s="55"/>
      <c r="GC23" s="59"/>
      <c r="GD23" s="59"/>
      <c r="GE23" s="55"/>
      <c r="GF23" s="59"/>
      <c r="GG23" s="59"/>
      <c r="GH23" s="66"/>
      <c r="GI23" s="59"/>
      <c r="GJ23" s="59"/>
      <c r="GK23" s="55"/>
      <c r="GL23" s="59"/>
      <c r="GM23" s="55"/>
      <c r="GN23" s="59"/>
      <c r="GO23" s="66"/>
      <c r="GP23" s="55"/>
      <c r="GQ23" s="55"/>
      <c r="GR23" s="59"/>
    </row>
    <row r="24" spans="1:200" s="83" customFormat="1" ht="42" x14ac:dyDescent="0.3">
      <c r="A24" s="55"/>
      <c r="B24" s="100" t="s">
        <v>173</v>
      </c>
      <c r="C24" s="93" t="s">
        <v>227</v>
      </c>
      <c r="D24" s="11" t="s">
        <v>175</v>
      </c>
      <c r="E24" s="51">
        <v>3</v>
      </c>
      <c r="F24" s="11" t="s">
        <v>174</v>
      </c>
      <c r="G24" s="62"/>
      <c r="H24" s="24">
        <f>(1195*T3)*(106.3/89)</f>
        <v>1427.2865168539327</v>
      </c>
      <c r="I24" s="24">
        <f>(64*T3)*(106.3/89)</f>
        <v>76.440449438202251</v>
      </c>
      <c r="J24" s="68"/>
      <c r="K24" s="24">
        <f>(4984*T3)*(106.3/89)</f>
        <v>5952.8</v>
      </c>
      <c r="L24" s="24">
        <f>(588*T3)*(106.3/89)</f>
        <v>702.29662921348313</v>
      </c>
      <c r="M24" s="68"/>
      <c r="N24" s="24">
        <f>(311*T3)*(106.3/89)</f>
        <v>371.45280898876405</v>
      </c>
      <c r="O24" s="24">
        <f>(27*T3)*(106.3/89)</f>
        <v>32.248314606741573</v>
      </c>
      <c r="P24" s="68"/>
      <c r="Q24" s="71"/>
      <c r="R24" s="71"/>
      <c r="S24" s="68"/>
      <c r="T24" s="51"/>
      <c r="U24" s="51"/>
      <c r="V24" s="68"/>
      <c r="W24" s="51"/>
      <c r="X24" s="51"/>
      <c r="Y24" s="68"/>
      <c r="Z24" s="51"/>
      <c r="AA24" s="51"/>
      <c r="AB24" s="68"/>
      <c r="AC24" s="51"/>
      <c r="AD24" s="51"/>
      <c r="AE24" s="68"/>
      <c r="AF24" s="51"/>
      <c r="AG24" s="51"/>
      <c r="AH24" s="68"/>
      <c r="AI24" s="51"/>
      <c r="AJ24" s="51"/>
      <c r="AK24" s="68"/>
      <c r="AL24" s="51"/>
      <c r="AM24" s="51"/>
      <c r="AN24" s="68"/>
      <c r="AO24" s="51"/>
      <c r="AP24" s="51"/>
      <c r="AQ24" s="68"/>
      <c r="AR24" s="51"/>
      <c r="AS24" s="51"/>
      <c r="AT24" s="68"/>
      <c r="AU24" s="51"/>
      <c r="AV24" s="51"/>
      <c r="AW24" s="68"/>
      <c r="AX24" s="51"/>
      <c r="AY24" s="51"/>
      <c r="AZ24" s="68"/>
      <c r="BA24" s="51"/>
      <c r="BB24" s="51"/>
      <c r="BC24" s="68"/>
      <c r="BD24" s="51"/>
      <c r="BE24" s="51"/>
      <c r="BF24" s="68"/>
      <c r="BG24" s="51"/>
      <c r="BH24" s="51"/>
      <c r="BI24" s="68"/>
      <c r="BJ24" s="51"/>
      <c r="BK24" s="51"/>
      <c r="BL24" s="68"/>
      <c r="BM24" s="51"/>
      <c r="BN24" s="51"/>
      <c r="BO24" s="68"/>
      <c r="BP24" s="51"/>
      <c r="BQ24" s="51"/>
      <c r="BR24" s="68"/>
      <c r="BS24" s="51"/>
      <c r="BT24" s="51"/>
      <c r="BU24" s="68"/>
      <c r="BV24" s="51"/>
      <c r="BW24" s="51"/>
      <c r="BX24" s="68"/>
      <c r="BY24" s="51"/>
      <c r="BZ24" s="51"/>
      <c r="CA24" s="68"/>
      <c r="CB24" s="51"/>
      <c r="CC24" s="51"/>
      <c r="CD24" s="68"/>
      <c r="CE24" s="51"/>
      <c r="CF24" s="51"/>
      <c r="CG24" s="68"/>
      <c r="CH24" s="71"/>
      <c r="CI24" s="71"/>
      <c r="CJ24" s="68"/>
      <c r="CK24" s="24">
        <f>(1209*T3)*(106.3/89)</f>
        <v>1444.0078651685394</v>
      </c>
      <c r="CL24" s="24">
        <f>(110*T3)*(106.3/89)</f>
        <v>131.38202247191012</v>
      </c>
      <c r="CM24" s="68"/>
      <c r="CN24" s="51"/>
      <c r="CO24" s="51"/>
      <c r="CP24" s="68"/>
      <c r="CQ24" s="51"/>
      <c r="CR24" s="51"/>
      <c r="CS24" s="66"/>
      <c r="CT24" s="71"/>
      <c r="CU24" s="66"/>
      <c r="CV24" s="65"/>
      <c r="CW24" s="51"/>
      <c r="CX24" s="51"/>
      <c r="CY24" s="68"/>
      <c r="CZ24" s="51"/>
      <c r="DA24" s="51"/>
      <c r="DB24" s="68"/>
      <c r="DC24" s="51"/>
      <c r="DD24" s="51"/>
      <c r="DE24" s="68"/>
      <c r="DF24" s="51"/>
      <c r="DG24" s="51"/>
      <c r="DH24" s="68"/>
      <c r="DI24" s="51"/>
      <c r="DJ24" s="51"/>
      <c r="DK24" s="66"/>
      <c r="DL24" s="51"/>
      <c r="DM24" s="51"/>
      <c r="DN24" s="68"/>
      <c r="DO24" s="71"/>
      <c r="DP24" s="71"/>
      <c r="DQ24" s="68"/>
      <c r="DR24" s="51"/>
      <c r="DS24" s="51"/>
      <c r="DT24" s="68"/>
      <c r="DU24" s="51"/>
      <c r="DV24" s="51"/>
      <c r="DW24" s="68"/>
      <c r="DX24" s="51"/>
      <c r="DY24" s="51"/>
      <c r="DZ24" s="68"/>
      <c r="EA24" s="71"/>
      <c r="EB24" s="71"/>
      <c r="EC24" s="68"/>
      <c r="ED24" s="51"/>
      <c r="EE24" s="51"/>
      <c r="EF24" s="68"/>
      <c r="EG24" s="51"/>
      <c r="EH24" s="51"/>
      <c r="EI24" s="68"/>
      <c r="EJ24" s="51"/>
      <c r="EK24" s="51"/>
      <c r="EL24" s="68"/>
      <c r="EM24" s="51"/>
      <c r="EN24" s="51"/>
      <c r="EO24" s="68"/>
      <c r="EP24" s="51"/>
      <c r="EQ24" s="51"/>
      <c r="ER24" s="68"/>
      <c r="ES24" s="71"/>
      <c r="ET24" s="71"/>
      <c r="EU24" s="68"/>
      <c r="EV24" s="51"/>
      <c r="EW24" s="51"/>
      <c r="EX24" s="68"/>
      <c r="EY24" s="51"/>
      <c r="EZ24" s="51"/>
      <c r="FA24" s="68"/>
      <c r="FB24" s="51"/>
      <c r="FC24" s="51"/>
      <c r="FD24" s="66"/>
      <c r="FE24" s="71"/>
      <c r="FF24" s="66"/>
      <c r="FG24" s="68"/>
      <c r="FH24" s="51"/>
      <c r="FI24" s="51"/>
      <c r="FJ24" s="68"/>
      <c r="FK24" s="51"/>
      <c r="FL24" s="51"/>
      <c r="FM24" s="68"/>
      <c r="FN24" s="51"/>
      <c r="FO24" s="51"/>
      <c r="FP24" s="68"/>
      <c r="FQ24" s="51"/>
      <c r="FR24" s="51"/>
      <c r="FS24" s="66"/>
      <c r="FT24" s="71"/>
      <c r="FU24" s="66"/>
      <c r="FV24" s="68"/>
      <c r="FW24" s="51"/>
      <c r="FX24" s="51"/>
      <c r="FY24" s="68"/>
      <c r="FZ24" s="51"/>
      <c r="GA24" s="51"/>
      <c r="GB24" s="66"/>
      <c r="GC24" s="51"/>
      <c r="GD24" s="51"/>
      <c r="GE24" s="66"/>
      <c r="GF24" s="51"/>
      <c r="GG24" s="51"/>
      <c r="GH24" s="67"/>
      <c r="GI24" s="51"/>
      <c r="GJ24" s="51"/>
      <c r="GK24" s="66"/>
      <c r="GL24" s="71"/>
      <c r="GM24" s="66"/>
      <c r="GN24" s="62"/>
      <c r="GO24" s="66"/>
      <c r="GP24" s="66"/>
      <c r="GQ24" s="66"/>
      <c r="GR24" s="62"/>
    </row>
    <row r="25" spans="1:200" x14ac:dyDescent="0.3">
      <c r="A25" s="55"/>
      <c r="B25" s="59"/>
      <c r="C25" s="59"/>
      <c r="D25" s="59"/>
      <c r="E25" s="59"/>
      <c r="F25" s="59"/>
      <c r="G25" s="59"/>
      <c r="H25" s="59"/>
      <c r="I25" s="59"/>
      <c r="J25" s="68"/>
      <c r="K25" s="59"/>
      <c r="L25" s="59"/>
      <c r="M25" s="68"/>
      <c r="N25" s="59"/>
      <c r="O25" s="59"/>
      <c r="P25" s="68"/>
      <c r="Q25" s="59"/>
      <c r="R25" s="59"/>
      <c r="S25" s="68"/>
      <c r="T25" s="59"/>
      <c r="U25" s="59"/>
      <c r="V25" s="68"/>
      <c r="W25" s="59"/>
      <c r="X25" s="59"/>
      <c r="Y25" s="68"/>
      <c r="Z25" s="59"/>
      <c r="AA25" s="59"/>
      <c r="AB25" s="68"/>
      <c r="AC25" s="59"/>
      <c r="AD25" s="59"/>
      <c r="AE25" s="68"/>
      <c r="AF25" s="59"/>
      <c r="AG25" s="59"/>
      <c r="AH25" s="68"/>
      <c r="AI25" s="59"/>
      <c r="AJ25" s="59"/>
      <c r="AK25" s="68"/>
      <c r="AL25" s="59"/>
      <c r="AM25" s="59"/>
      <c r="AN25" s="68"/>
      <c r="AO25" s="59"/>
      <c r="AP25" s="59"/>
      <c r="AQ25" s="68"/>
      <c r="AR25" s="59"/>
      <c r="AS25" s="59"/>
      <c r="AT25" s="68"/>
      <c r="AU25" s="59"/>
      <c r="AV25" s="59"/>
      <c r="AW25" s="68"/>
      <c r="AX25" s="59"/>
      <c r="AY25" s="59"/>
      <c r="AZ25" s="68"/>
      <c r="BA25" s="59"/>
      <c r="BB25" s="59"/>
      <c r="BC25" s="68"/>
      <c r="BD25" s="59"/>
      <c r="BE25" s="59"/>
      <c r="BF25" s="68"/>
      <c r="BG25" s="59"/>
      <c r="BH25" s="59"/>
      <c r="BI25" s="68"/>
      <c r="BJ25" s="59"/>
      <c r="BK25" s="59"/>
      <c r="BL25" s="68"/>
      <c r="BM25" s="59"/>
      <c r="BN25" s="59"/>
      <c r="BO25" s="68"/>
      <c r="BP25" s="59"/>
      <c r="BQ25" s="59"/>
      <c r="BR25" s="68"/>
      <c r="BS25" s="59"/>
      <c r="BT25" s="59"/>
      <c r="BU25" s="68"/>
      <c r="BV25" s="59"/>
      <c r="BW25" s="59"/>
      <c r="BX25" s="68"/>
      <c r="BY25" s="59"/>
      <c r="BZ25" s="59"/>
      <c r="CA25" s="68"/>
      <c r="CB25" s="59"/>
      <c r="CC25" s="59"/>
      <c r="CD25" s="68"/>
      <c r="CE25" s="59"/>
      <c r="CF25" s="59"/>
      <c r="CG25" s="68"/>
      <c r="CH25" s="59"/>
      <c r="CI25" s="59"/>
      <c r="CJ25" s="68"/>
      <c r="CK25" s="59"/>
      <c r="CL25" s="59"/>
      <c r="CM25" s="68"/>
      <c r="CN25" s="59"/>
      <c r="CO25" s="59"/>
      <c r="CP25" s="68"/>
      <c r="CQ25" s="59"/>
      <c r="CR25" s="59"/>
      <c r="CS25" s="55"/>
      <c r="CT25" s="59"/>
      <c r="CU25" s="55"/>
      <c r="CV25" s="65"/>
      <c r="CW25" s="59"/>
      <c r="CX25" s="59"/>
      <c r="CY25" s="68"/>
      <c r="CZ25" s="59"/>
      <c r="DA25" s="59"/>
      <c r="DB25" s="68"/>
      <c r="DC25" s="59"/>
      <c r="DD25" s="59"/>
      <c r="DE25" s="68"/>
      <c r="DF25" s="59"/>
      <c r="DG25" s="59"/>
      <c r="DH25" s="68"/>
      <c r="DI25" s="59"/>
      <c r="DJ25" s="59"/>
      <c r="DK25" s="55"/>
      <c r="DL25" s="59"/>
      <c r="DM25" s="59"/>
      <c r="DN25" s="68"/>
      <c r="DO25" s="59"/>
      <c r="DP25" s="59"/>
      <c r="DQ25" s="68"/>
      <c r="DR25" s="59"/>
      <c r="DS25" s="59"/>
      <c r="DT25" s="68"/>
      <c r="DU25" s="59"/>
      <c r="DV25" s="59"/>
      <c r="DW25" s="68"/>
      <c r="DX25" s="59"/>
      <c r="DY25" s="59"/>
      <c r="DZ25" s="68"/>
      <c r="EA25" s="59"/>
      <c r="EB25" s="59"/>
      <c r="EC25" s="68"/>
      <c r="ED25" s="59"/>
      <c r="EE25" s="59"/>
      <c r="EF25" s="68"/>
      <c r="EG25" s="59"/>
      <c r="EH25" s="59"/>
      <c r="EI25" s="68"/>
      <c r="EJ25" s="59"/>
      <c r="EK25" s="59"/>
      <c r="EL25" s="68"/>
      <c r="EM25" s="59"/>
      <c r="EN25" s="59"/>
      <c r="EO25" s="68"/>
      <c r="EP25" s="59"/>
      <c r="EQ25" s="59"/>
      <c r="ER25" s="68"/>
      <c r="ES25" s="59"/>
      <c r="ET25" s="59"/>
      <c r="EU25" s="68"/>
      <c r="EV25" s="59"/>
      <c r="EW25" s="59"/>
      <c r="EX25" s="68"/>
      <c r="EY25" s="59"/>
      <c r="EZ25" s="59"/>
      <c r="FA25" s="68"/>
      <c r="FB25" s="59"/>
      <c r="FC25" s="59"/>
      <c r="FD25" s="55"/>
      <c r="FE25" s="59"/>
      <c r="FF25" s="55"/>
      <c r="FG25" s="68"/>
      <c r="FH25" s="59"/>
      <c r="FI25" s="59"/>
      <c r="FJ25" s="68"/>
      <c r="FK25" s="59"/>
      <c r="FL25" s="59"/>
      <c r="FM25" s="68"/>
      <c r="FN25" s="59"/>
      <c r="FO25" s="59"/>
      <c r="FP25" s="68"/>
      <c r="FQ25" s="59"/>
      <c r="FR25" s="59"/>
      <c r="FS25" s="55"/>
      <c r="FT25" s="59"/>
      <c r="FU25" s="55"/>
      <c r="FV25" s="68"/>
      <c r="FW25" s="59"/>
      <c r="FX25" s="59"/>
      <c r="FY25" s="68"/>
      <c r="FZ25" s="59"/>
      <c r="GA25" s="59"/>
      <c r="GB25" s="68"/>
      <c r="GC25" s="59"/>
      <c r="GD25" s="59"/>
      <c r="GE25" s="68"/>
      <c r="GF25" s="59"/>
      <c r="GG25" s="59"/>
      <c r="GH25" s="68"/>
      <c r="GI25" s="59"/>
      <c r="GJ25" s="59"/>
      <c r="GK25" s="55"/>
      <c r="GL25" s="59"/>
      <c r="GM25" s="55"/>
      <c r="GN25" s="59"/>
      <c r="GO25" s="55"/>
      <c r="GP25" s="55"/>
      <c r="GQ25" s="55"/>
      <c r="GR25" s="59"/>
    </row>
    <row r="26" spans="1:200" s="83" customFormat="1" ht="56" x14ac:dyDescent="0.3">
      <c r="A26" s="55"/>
      <c r="B26" s="99" t="s">
        <v>176</v>
      </c>
      <c r="C26" s="93" t="s">
        <v>226</v>
      </c>
      <c r="D26" s="11" t="s">
        <v>177</v>
      </c>
      <c r="E26" s="51">
        <v>1</v>
      </c>
      <c r="F26" s="51">
        <v>2004</v>
      </c>
      <c r="G26" s="59"/>
      <c r="H26" s="51"/>
      <c r="I26" s="51"/>
      <c r="J26" s="68"/>
      <c r="K26" s="51"/>
      <c r="L26" s="51"/>
      <c r="M26" s="68"/>
      <c r="N26" s="51"/>
      <c r="O26" s="51"/>
      <c r="P26" s="68"/>
      <c r="Q26" s="71"/>
      <c r="R26" s="71"/>
      <c r="S26" s="68"/>
      <c r="T26" s="51"/>
      <c r="U26" s="51"/>
      <c r="V26" s="68"/>
      <c r="W26" s="51"/>
      <c r="X26" s="51"/>
      <c r="Y26" s="68"/>
      <c r="Z26" s="51"/>
      <c r="AA26" s="51"/>
      <c r="AB26" s="68"/>
      <c r="AC26" s="51"/>
      <c r="AD26" s="51"/>
      <c r="AE26" s="68"/>
      <c r="AF26" s="51"/>
      <c r="AG26" s="51"/>
      <c r="AH26" s="68"/>
      <c r="AI26" s="51"/>
      <c r="AJ26" s="51"/>
      <c r="AK26" s="68"/>
      <c r="AL26" s="51"/>
      <c r="AM26" s="51"/>
      <c r="AN26" s="68"/>
      <c r="AO26" s="51"/>
      <c r="AP26" s="51"/>
      <c r="AQ26" s="68"/>
      <c r="AR26" s="51"/>
      <c r="AS26" s="51"/>
      <c r="AT26" s="68"/>
      <c r="AU26" s="51"/>
      <c r="AV26" s="51"/>
      <c r="AW26" s="68"/>
      <c r="AX26" s="51"/>
      <c r="AY26" s="51"/>
      <c r="AZ26" s="68"/>
      <c r="BA26" s="51"/>
      <c r="BB26" s="51"/>
      <c r="BC26" s="68"/>
      <c r="BD26" s="51"/>
      <c r="BE26" s="51"/>
      <c r="BF26" s="68"/>
      <c r="BG26" s="51"/>
      <c r="BH26" s="51"/>
      <c r="BI26" s="68"/>
      <c r="BJ26" s="51"/>
      <c r="BK26" s="51"/>
      <c r="BL26" s="68"/>
      <c r="BM26" s="51"/>
      <c r="BN26" s="51"/>
      <c r="BO26" s="68"/>
      <c r="BP26" s="51"/>
      <c r="BQ26" s="51"/>
      <c r="BR26" s="68"/>
      <c r="BS26" s="51"/>
      <c r="BT26" s="51"/>
      <c r="BU26" s="68"/>
      <c r="BV26" s="51"/>
      <c r="BW26" s="51"/>
      <c r="BX26" s="68"/>
      <c r="BY26" s="51"/>
      <c r="BZ26" s="51"/>
      <c r="CA26" s="68"/>
      <c r="CB26" s="51"/>
      <c r="CC26" s="51"/>
      <c r="CD26" s="68"/>
      <c r="CE26" s="51"/>
      <c r="CF26" s="51"/>
      <c r="CG26" s="68"/>
      <c r="CH26" s="71"/>
      <c r="CI26" s="71"/>
      <c r="CJ26" s="68"/>
      <c r="CK26" s="51"/>
      <c r="CL26" s="51"/>
      <c r="CM26" s="68"/>
      <c r="CN26" s="51"/>
      <c r="CO26" s="51"/>
      <c r="CP26" s="68"/>
      <c r="CQ26" s="51"/>
      <c r="CR26" s="51"/>
      <c r="CS26" s="66"/>
      <c r="CT26" s="71"/>
      <c r="CU26" s="66"/>
      <c r="CV26" s="65"/>
      <c r="CW26" s="51"/>
      <c r="CX26" s="51"/>
      <c r="CY26" s="68"/>
      <c r="CZ26" s="51"/>
      <c r="DA26" s="51"/>
      <c r="DB26" s="68"/>
      <c r="DC26" s="51"/>
      <c r="DD26" s="51"/>
      <c r="DE26" s="68"/>
      <c r="DF26" s="51"/>
      <c r="DG26" s="51"/>
      <c r="DH26" s="68"/>
      <c r="DI26" s="51"/>
      <c r="DJ26" s="51"/>
      <c r="DK26" s="66"/>
      <c r="DL26" s="51"/>
      <c r="DM26" s="51"/>
      <c r="DN26" s="68"/>
      <c r="DO26" s="71"/>
      <c r="DP26" s="71"/>
      <c r="DQ26" s="68"/>
      <c r="DR26" s="51"/>
      <c r="DS26" s="51"/>
      <c r="DT26" s="68"/>
      <c r="DU26" s="51"/>
      <c r="DV26" s="51"/>
      <c r="DW26" s="68"/>
      <c r="DX26" s="51"/>
      <c r="DY26" s="51"/>
      <c r="DZ26" s="68"/>
      <c r="EA26" s="71"/>
      <c r="EB26" s="71"/>
      <c r="EC26" s="68"/>
      <c r="ED26" s="51"/>
      <c r="EE26" s="51"/>
      <c r="EF26" s="68"/>
      <c r="EG26" s="51"/>
      <c r="EH26" s="51"/>
      <c r="EI26" s="68"/>
      <c r="EJ26" s="51"/>
      <c r="EK26" s="51"/>
      <c r="EL26" s="68"/>
      <c r="EM26" s="51"/>
      <c r="EN26" s="51"/>
      <c r="EO26" s="68"/>
      <c r="EP26" s="51"/>
      <c r="EQ26" s="51"/>
      <c r="ER26" s="68"/>
      <c r="ES26" s="71"/>
      <c r="ET26" s="71"/>
      <c r="EU26" s="68"/>
      <c r="EV26" s="51"/>
      <c r="EW26" s="51"/>
      <c r="EX26" s="68"/>
      <c r="EY26" s="51"/>
      <c r="EZ26" s="51"/>
      <c r="FA26" s="68"/>
      <c r="FB26" s="51"/>
      <c r="FC26" s="51"/>
      <c r="FD26" s="66"/>
      <c r="FE26" s="71"/>
      <c r="FF26" s="66"/>
      <c r="FG26" s="68"/>
      <c r="FH26" s="51"/>
      <c r="FI26" s="51"/>
      <c r="FJ26" s="68"/>
      <c r="FK26" s="51"/>
      <c r="FL26" s="51"/>
      <c r="FM26" s="68"/>
      <c r="FN26" s="24">
        <f>((144.12*52)*Q3)*(105.9/81.7)</f>
        <v>12725.439669033049</v>
      </c>
      <c r="FO26" s="24" t="s">
        <v>79</v>
      </c>
      <c r="FP26" s="68"/>
      <c r="FQ26" s="51"/>
      <c r="FR26" s="51"/>
      <c r="FS26" s="66"/>
      <c r="FT26" s="71"/>
      <c r="FU26" s="66"/>
      <c r="FV26" s="68"/>
      <c r="FW26" s="51"/>
      <c r="FX26" s="51"/>
      <c r="FY26" s="68"/>
      <c r="FZ26" s="51"/>
      <c r="GA26" s="51"/>
      <c r="GB26" s="68"/>
      <c r="GC26" s="51"/>
      <c r="GD26" s="51"/>
      <c r="GE26" s="68"/>
      <c r="GF26" s="51"/>
      <c r="GG26" s="51"/>
      <c r="GH26" s="68"/>
      <c r="GI26" s="51"/>
      <c r="GJ26" s="51"/>
      <c r="GK26" s="66"/>
      <c r="GL26" s="71"/>
      <c r="GM26" s="66"/>
      <c r="GN26" s="62"/>
      <c r="GO26" s="66"/>
      <c r="GP26" s="66"/>
      <c r="GQ26" s="68"/>
      <c r="GR26" s="62"/>
    </row>
    <row r="27" spans="1:200" x14ac:dyDescent="0.3">
      <c r="A27" s="55"/>
      <c r="B27" s="59"/>
      <c r="C27" s="59"/>
      <c r="D27" s="59"/>
      <c r="E27" s="59"/>
      <c r="F27" s="59"/>
      <c r="G27" s="59"/>
      <c r="H27" s="59"/>
      <c r="I27" s="59"/>
      <c r="J27" s="68"/>
      <c r="K27" s="59"/>
      <c r="L27" s="59"/>
      <c r="M27" s="68"/>
      <c r="N27" s="59"/>
      <c r="O27" s="59"/>
      <c r="P27" s="68"/>
      <c r="Q27" s="59"/>
      <c r="R27" s="59"/>
      <c r="S27" s="68"/>
      <c r="T27" s="59"/>
      <c r="U27" s="59"/>
      <c r="V27" s="68"/>
      <c r="W27" s="59"/>
      <c r="X27" s="59"/>
      <c r="Y27" s="68"/>
      <c r="Z27" s="59"/>
      <c r="AA27" s="59"/>
      <c r="AB27" s="68"/>
      <c r="AC27" s="59"/>
      <c r="AD27" s="59"/>
      <c r="AE27" s="68"/>
      <c r="AF27" s="59"/>
      <c r="AG27" s="59"/>
      <c r="AH27" s="68"/>
      <c r="AI27" s="59"/>
      <c r="AJ27" s="59"/>
      <c r="AK27" s="68"/>
      <c r="AL27" s="59"/>
      <c r="AM27" s="59"/>
      <c r="AN27" s="68"/>
      <c r="AO27" s="59"/>
      <c r="AP27" s="59"/>
      <c r="AQ27" s="68"/>
      <c r="AR27" s="59"/>
      <c r="AS27" s="59"/>
      <c r="AT27" s="68"/>
      <c r="AU27" s="59"/>
      <c r="AV27" s="59"/>
      <c r="AW27" s="68"/>
      <c r="AX27" s="59"/>
      <c r="AY27" s="59"/>
      <c r="AZ27" s="68"/>
      <c r="BA27" s="59"/>
      <c r="BB27" s="59"/>
      <c r="BC27" s="68"/>
      <c r="BD27" s="59"/>
      <c r="BE27" s="59"/>
      <c r="BF27" s="68"/>
      <c r="BG27" s="59"/>
      <c r="BH27" s="59"/>
      <c r="BI27" s="68"/>
      <c r="BJ27" s="59"/>
      <c r="BK27" s="59"/>
      <c r="BL27" s="68"/>
      <c r="BM27" s="59"/>
      <c r="BN27" s="59"/>
      <c r="BO27" s="68"/>
      <c r="BP27" s="59"/>
      <c r="BQ27" s="59"/>
      <c r="BR27" s="68"/>
      <c r="BS27" s="59"/>
      <c r="BT27" s="59"/>
      <c r="BU27" s="68"/>
      <c r="BV27" s="59"/>
      <c r="BW27" s="59"/>
      <c r="BX27" s="68"/>
      <c r="BY27" s="59"/>
      <c r="BZ27" s="59"/>
      <c r="CA27" s="68"/>
      <c r="CB27" s="59"/>
      <c r="CC27" s="59"/>
      <c r="CD27" s="68"/>
      <c r="CE27" s="59"/>
      <c r="CF27" s="59"/>
      <c r="CG27" s="68"/>
      <c r="CH27" s="59"/>
      <c r="CI27" s="59"/>
      <c r="CJ27" s="68"/>
      <c r="CK27" s="59"/>
      <c r="CL27" s="59"/>
      <c r="CM27" s="68"/>
      <c r="CN27" s="59"/>
      <c r="CO27" s="59"/>
      <c r="CP27" s="68"/>
      <c r="CQ27" s="59"/>
      <c r="CR27" s="59"/>
      <c r="CS27" s="55"/>
      <c r="CT27" s="59"/>
      <c r="CU27" s="55"/>
      <c r="CV27" s="65"/>
      <c r="CW27" s="59"/>
      <c r="CX27" s="59"/>
      <c r="CY27" s="68"/>
      <c r="CZ27" s="59"/>
      <c r="DA27" s="59"/>
      <c r="DB27" s="68"/>
      <c r="DC27" s="59"/>
      <c r="DD27" s="59"/>
      <c r="DE27" s="68"/>
      <c r="DF27" s="59"/>
      <c r="DG27" s="59"/>
      <c r="DH27" s="68"/>
      <c r="DI27" s="59"/>
      <c r="DJ27" s="59"/>
      <c r="DK27" s="55"/>
      <c r="DL27" s="59"/>
      <c r="DM27" s="59"/>
      <c r="DN27" s="68"/>
      <c r="DO27" s="59"/>
      <c r="DP27" s="59"/>
      <c r="DQ27" s="68"/>
      <c r="DR27" s="59"/>
      <c r="DS27" s="59"/>
      <c r="DT27" s="68"/>
      <c r="DU27" s="59"/>
      <c r="DV27" s="59"/>
      <c r="DW27" s="68"/>
      <c r="DX27" s="59"/>
      <c r="DY27" s="59"/>
      <c r="DZ27" s="68"/>
      <c r="EA27" s="59"/>
      <c r="EB27" s="59"/>
      <c r="EC27" s="68"/>
      <c r="ED27" s="59"/>
      <c r="EE27" s="59"/>
      <c r="EF27" s="68"/>
      <c r="EG27" s="59"/>
      <c r="EH27" s="59"/>
      <c r="EI27" s="68"/>
      <c r="EJ27" s="59"/>
      <c r="EK27" s="59"/>
      <c r="EL27" s="68"/>
      <c r="EM27" s="59"/>
      <c r="EN27" s="59"/>
      <c r="EO27" s="68"/>
      <c r="EP27" s="59"/>
      <c r="EQ27" s="59"/>
      <c r="ER27" s="68"/>
      <c r="ES27" s="59"/>
      <c r="ET27" s="59"/>
      <c r="EU27" s="68"/>
      <c r="EV27" s="59"/>
      <c r="EW27" s="59"/>
      <c r="EX27" s="68"/>
      <c r="EY27" s="59"/>
      <c r="EZ27" s="59"/>
      <c r="FA27" s="68"/>
      <c r="FB27" s="59"/>
      <c r="FC27" s="59"/>
      <c r="FD27" s="55"/>
      <c r="FE27" s="59"/>
      <c r="FF27" s="55"/>
      <c r="FG27" s="68"/>
      <c r="FH27" s="59"/>
      <c r="FI27" s="59"/>
      <c r="FJ27" s="68"/>
      <c r="FK27" s="59"/>
      <c r="FL27" s="59"/>
      <c r="FM27" s="68"/>
      <c r="FN27" s="59"/>
      <c r="FO27" s="59"/>
      <c r="FP27" s="68"/>
      <c r="FQ27" s="59"/>
      <c r="FR27" s="59"/>
      <c r="FS27" s="55"/>
      <c r="FT27" s="59"/>
      <c r="FU27" s="55"/>
      <c r="FV27" s="68"/>
      <c r="FW27" s="59"/>
      <c r="FX27" s="59"/>
      <c r="FY27" s="68"/>
      <c r="FZ27" s="59"/>
      <c r="GA27" s="59"/>
      <c r="GB27" s="68"/>
      <c r="GC27" s="59"/>
      <c r="GD27" s="59"/>
      <c r="GE27" s="68"/>
      <c r="GF27" s="59"/>
      <c r="GG27" s="59"/>
      <c r="GH27" s="68"/>
      <c r="GI27" s="59"/>
      <c r="GJ27" s="59"/>
      <c r="GK27" s="55"/>
      <c r="GL27" s="59"/>
      <c r="GM27" s="55"/>
      <c r="GN27" s="59"/>
      <c r="GO27" s="55"/>
      <c r="GP27" s="55"/>
      <c r="GQ27" s="55"/>
      <c r="GR27" s="59"/>
    </row>
    <row r="28" spans="1:200" s="83" customFormat="1" ht="90" x14ac:dyDescent="0.3">
      <c r="A28" s="55"/>
      <c r="B28" s="99" t="s">
        <v>178</v>
      </c>
      <c r="C28" s="93" t="s">
        <v>226</v>
      </c>
      <c r="D28" s="11" t="s">
        <v>179</v>
      </c>
      <c r="E28" s="51">
        <v>3</v>
      </c>
      <c r="F28" s="51">
        <v>1998</v>
      </c>
      <c r="G28" s="59"/>
      <c r="H28" s="51"/>
      <c r="I28" s="51"/>
      <c r="J28" s="68"/>
      <c r="K28" s="51"/>
      <c r="L28" s="51"/>
      <c r="M28" s="68"/>
      <c r="N28" s="51"/>
      <c r="O28" s="51"/>
      <c r="P28" s="68"/>
      <c r="Q28" s="71"/>
      <c r="R28" s="71"/>
      <c r="S28" s="68"/>
      <c r="T28" s="51"/>
      <c r="U28" s="51"/>
      <c r="V28" s="68"/>
      <c r="W28" s="51"/>
      <c r="X28" s="51"/>
      <c r="Y28" s="68"/>
      <c r="Z28" s="51"/>
      <c r="AA28" s="51"/>
      <c r="AB28" s="68"/>
      <c r="AC28" s="51"/>
      <c r="AD28" s="51"/>
      <c r="AE28" s="68"/>
      <c r="AF28" s="51"/>
      <c r="AG28" s="51"/>
      <c r="AH28" s="68"/>
      <c r="AI28" s="51"/>
      <c r="AJ28" s="51"/>
      <c r="AK28" s="68"/>
      <c r="AL28" s="51"/>
      <c r="AM28" s="51"/>
      <c r="AN28" s="68"/>
      <c r="AO28" s="51"/>
      <c r="AP28" s="51"/>
      <c r="AQ28" s="68"/>
      <c r="AR28" s="51"/>
      <c r="AS28" s="51"/>
      <c r="AT28" s="68"/>
      <c r="AU28" s="51"/>
      <c r="AV28" s="51"/>
      <c r="AW28" s="68"/>
      <c r="AX28" s="51"/>
      <c r="AY28" s="51"/>
      <c r="AZ28" s="68"/>
      <c r="BA28" s="51"/>
      <c r="BB28" s="51"/>
      <c r="BC28" s="68"/>
      <c r="BD28" s="51"/>
      <c r="BE28" s="51"/>
      <c r="BF28" s="68"/>
      <c r="BG28" s="51"/>
      <c r="BH28" s="51"/>
      <c r="BI28" s="68"/>
      <c r="BJ28" s="51"/>
      <c r="BK28" s="51"/>
      <c r="BL28" s="68"/>
      <c r="BM28" s="51"/>
      <c r="BN28" s="51"/>
      <c r="BO28" s="68"/>
      <c r="BP28" s="51"/>
      <c r="BQ28" s="51"/>
      <c r="BR28" s="68"/>
      <c r="BS28" s="51"/>
      <c r="BT28" s="51"/>
      <c r="BU28" s="68"/>
      <c r="BV28" s="51"/>
      <c r="BW28" s="51"/>
      <c r="BX28" s="68"/>
      <c r="BY28" s="51"/>
      <c r="BZ28" s="51"/>
      <c r="CA28" s="68"/>
      <c r="CB28" s="51"/>
      <c r="CC28" s="51"/>
      <c r="CD28" s="68"/>
      <c r="CE28" s="51"/>
      <c r="CF28" s="51"/>
      <c r="CG28" s="68"/>
      <c r="CH28" s="69">
        <f>(11.8*26)*(W3)*(105/63.9)</f>
        <v>352.89201877934272</v>
      </c>
      <c r="CI28" s="69" t="s">
        <v>79</v>
      </c>
      <c r="CJ28" s="68"/>
      <c r="CK28" s="24">
        <f>((10.3*26)*(W3)*(105/63.9))+((2.4*26)*(W3)*(105/63.9))</f>
        <v>379.80751173708916</v>
      </c>
      <c r="CL28" s="24" t="s">
        <v>79</v>
      </c>
      <c r="CM28" s="68"/>
      <c r="CN28" s="24">
        <f>((11.5*26)*(W3)*(105/63.9))+((6.7*26)*(W3)*(105/63.9))</f>
        <v>544.29107981220659</v>
      </c>
      <c r="CO28" s="24" t="s">
        <v>79</v>
      </c>
      <c r="CP28" s="68"/>
      <c r="CQ28" s="51"/>
      <c r="CR28" s="51"/>
      <c r="CS28" s="66"/>
      <c r="CT28" s="71"/>
      <c r="CU28" s="66"/>
      <c r="CV28" s="65"/>
      <c r="CW28" s="51"/>
      <c r="CX28" s="51"/>
      <c r="CY28" s="68"/>
      <c r="CZ28" s="51"/>
      <c r="DA28" s="51"/>
      <c r="DB28" s="68"/>
      <c r="DC28" s="51"/>
      <c r="DD28" s="51"/>
      <c r="DE28" s="68"/>
      <c r="DF28" s="51"/>
      <c r="DG28" s="51"/>
      <c r="DH28" s="68"/>
      <c r="DI28" s="51"/>
      <c r="DJ28" s="51"/>
      <c r="DK28" s="66"/>
      <c r="DL28" s="24">
        <f>((10.2*26)*(W3)*(105/63.9))+((3.5*26)*(W3)*(105/63.9))</f>
        <v>409.71361502347412</v>
      </c>
      <c r="DM28" s="24" t="s">
        <v>79</v>
      </c>
      <c r="DN28" s="68"/>
      <c r="DO28" s="71"/>
      <c r="DP28" s="71"/>
      <c r="DQ28" s="68"/>
      <c r="DR28" s="51"/>
      <c r="DS28" s="51"/>
      <c r="DT28" s="68"/>
      <c r="DU28" s="51"/>
      <c r="DV28" s="51"/>
      <c r="DW28" s="68"/>
      <c r="DX28" s="51"/>
      <c r="DY28" s="51"/>
      <c r="DZ28" s="68"/>
      <c r="EA28" s="71"/>
      <c r="EB28" s="71"/>
      <c r="EC28" s="68"/>
      <c r="ED28" s="51"/>
      <c r="EE28" s="51"/>
      <c r="EF28" s="68"/>
      <c r="EG28" s="51"/>
      <c r="EH28" s="51"/>
      <c r="EI28" s="68"/>
      <c r="EJ28" s="51"/>
      <c r="EK28" s="51"/>
      <c r="EL28" s="68"/>
      <c r="EM28" s="51"/>
      <c r="EN28" s="51"/>
      <c r="EO28" s="68"/>
      <c r="EP28" s="51"/>
      <c r="EQ28" s="51"/>
      <c r="ER28" s="68"/>
      <c r="ES28" s="71"/>
      <c r="ET28" s="71"/>
      <c r="EU28" s="68"/>
      <c r="EV28" s="51"/>
      <c r="EW28" s="51"/>
      <c r="EX28" s="68"/>
      <c r="EY28" s="51"/>
      <c r="EZ28" s="51"/>
      <c r="FA28" s="68"/>
      <c r="FB28" s="51"/>
      <c r="FC28" s="51"/>
      <c r="FD28" s="66"/>
      <c r="FE28" s="71"/>
      <c r="FF28" s="66"/>
      <c r="FG28" s="68"/>
      <c r="FH28" s="24"/>
      <c r="FI28" s="24"/>
      <c r="FJ28" s="68"/>
      <c r="FK28" s="24">
        <f>((36.3*26)*(W3)*(130.6/69.3))+((28.6*26)*(W3)*(130.6/69.3))</f>
        <v>2226.0044444444443</v>
      </c>
      <c r="FL28" s="24" t="s">
        <v>79</v>
      </c>
      <c r="FM28" s="68"/>
      <c r="FN28" s="24">
        <f>(499.7*26)*(W3)*(105/63.9)</f>
        <v>14944.079812206572</v>
      </c>
      <c r="FO28" s="24" t="s">
        <v>79</v>
      </c>
      <c r="FP28" s="68"/>
      <c r="FQ28" s="24">
        <f>(25.4*26)*(W3)*(105/63.9)</f>
        <v>759.61502347417832</v>
      </c>
      <c r="FR28" s="24" t="s">
        <v>79</v>
      </c>
      <c r="FS28" s="68"/>
      <c r="FT28" s="69"/>
      <c r="FU28" s="68"/>
      <c r="FV28" s="68"/>
      <c r="FW28" s="51"/>
      <c r="FX28" s="51"/>
      <c r="FY28" s="68"/>
      <c r="FZ28" s="51"/>
      <c r="GA28" s="51"/>
      <c r="GB28" s="68"/>
      <c r="GC28" s="51"/>
      <c r="GD28" s="51"/>
      <c r="GE28" s="68"/>
      <c r="GF28" s="51"/>
      <c r="GG28" s="51"/>
      <c r="GH28" s="68"/>
      <c r="GI28" s="51"/>
      <c r="GJ28" s="51"/>
      <c r="GK28" s="66"/>
      <c r="GL28" s="71"/>
      <c r="GM28" s="66"/>
      <c r="GN28" s="62"/>
      <c r="GO28" s="66"/>
      <c r="GP28" s="66"/>
      <c r="GQ28" s="68"/>
      <c r="GR28" s="62"/>
    </row>
    <row r="29" spans="1:200" x14ac:dyDescent="0.3">
      <c r="A29" s="55"/>
      <c r="B29" s="59"/>
      <c r="C29" s="59"/>
      <c r="D29" s="59"/>
      <c r="E29" s="59"/>
      <c r="F29" s="59"/>
      <c r="G29" s="59"/>
      <c r="H29" s="59"/>
      <c r="I29" s="59"/>
      <c r="J29" s="68"/>
      <c r="K29" s="59"/>
      <c r="L29" s="59"/>
      <c r="M29" s="68"/>
      <c r="N29" s="59"/>
      <c r="O29" s="59"/>
      <c r="P29" s="68"/>
      <c r="Q29" s="59"/>
      <c r="R29" s="59"/>
      <c r="S29" s="68"/>
      <c r="T29" s="59"/>
      <c r="U29" s="59"/>
      <c r="V29" s="68"/>
      <c r="W29" s="59"/>
      <c r="X29" s="59"/>
      <c r="Y29" s="68"/>
      <c r="Z29" s="59"/>
      <c r="AA29" s="59"/>
      <c r="AB29" s="68"/>
      <c r="AC29" s="59"/>
      <c r="AD29" s="59"/>
      <c r="AE29" s="68"/>
      <c r="AF29" s="59"/>
      <c r="AG29" s="59"/>
      <c r="AH29" s="68"/>
      <c r="AI29" s="59"/>
      <c r="AJ29" s="59"/>
      <c r="AK29" s="68"/>
      <c r="AL29" s="59"/>
      <c r="AM29" s="59"/>
      <c r="AN29" s="68"/>
      <c r="AO29" s="59"/>
      <c r="AP29" s="59"/>
      <c r="AQ29" s="68"/>
      <c r="AR29" s="59"/>
      <c r="AS29" s="59"/>
      <c r="AT29" s="68"/>
      <c r="AU29" s="59"/>
      <c r="AV29" s="59"/>
      <c r="AW29" s="68"/>
      <c r="AX29" s="59"/>
      <c r="AY29" s="59"/>
      <c r="AZ29" s="68"/>
      <c r="BA29" s="59"/>
      <c r="BB29" s="59"/>
      <c r="BC29" s="68"/>
      <c r="BD29" s="59"/>
      <c r="BE29" s="59"/>
      <c r="BF29" s="68"/>
      <c r="BG29" s="59"/>
      <c r="BH29" s="59"/>
      <c r="BI29" s="68"/>
      <c r="BJ29" s="59"/>
      <c r="BK29" s="59"/>
      <c r="BL29" s="68"/>
      <c r="BM29" s="59"/>
      <c r="BN29" s="59"/>
      <c r="BO29" s="68"/>
      <c r="BP29" s="59"/>
      <c r="BQ29" s="59"/>
      <c r="BR29" s="68"/>
      <c r="BS29" s="59"/>
      <c r="BT29" s="59"/>
      <c r="BU29" s="68"/>
      <c r="BV29" s="59"/>
      <c r="BW29" s="59"/>
      <c r="BX29" s="68"/>
      <c r="BY29" s="59"/>
      <c r="BZ29" s="59"/>
      <c r="CA29" s="68"/>
      <c r="CB29" s="59"/>
      <c r="CC29" s="59"/>
      <c r="CD29" s="68"/>
      <c r="CE29" s="59"/>
      <c r="CF29" s="59"/>
      <c r="CG29" s="68"/>
      <c r="CH29" s="59"/>
      <c r="CI29" s="59"/>
      <c r="CJ29" s="68"/>
      <c r="CK29" s="59"/>
      <c r="CL29" s="59"/>
      <c r="CM29" s="68"/>
      <c r="CN29" s="59"/>
      <c r="CO29" s="59"/>
      <c r="CP29" s="68"/>
      <c r="CQ29" s="59"/>
      <c r="CR29" s="59"/>
      <c r="CS29" s="55"/>
      <c r="CT29" s="59"/>
      <c r="CU29" s="55"/>
      <c r="CV29" s="65"/>
      <c r="CW29" s="59"/>
      <c r="CX29" s="59"/>
      <c r="CY29" s="68"/>
      <c r="CZ29" s="59"/>
      <c r="DA29" s="59"/>
      <c r="DB29" s="68"/>
      <c r="DC29" s="59"/>
      <c r="DD29" s="59"/>
      <c r="DE29" s="68"/>
      <c r="DF29" s="59"/>
      <c r="DG29" s="59"/>
      <c r="DH29" s="68"/>
      <c r="DI29" s="59"/>
      <c r="DJ29" s="59"/>
      <c r="DK29" s="68"/>
      <c r="DL29" s="59"/>
      <c r="DM29" s="59"/>
      <c r="DN29" s="68"/>
      <c r="DO29" s="59"/>
      <c r="DP29" s="59"/>
      <c r="DQ29" s="68"/>
      <c r="DR29" s="59"/>
      <c r="DS29" s="59"/>
      <c r="DT29" s="68"/>
      <c r="DU29" s="59"/>
      <c r="DV29" s="59"/>
      <c r="DW29" s="68"/>
      <c r="DX29" s="59"/>
      <c r="DY29" s="59"/>
      <c r="DZ29" s="68"/>
      <c r="EA29" s="59"/>
      <c r="EB29" s="59"/>
      <c r="EC29" s="68"/>
      <c r="ED29" s="59"/>
      <c r="EE29" s="59"/>
      <c r="EF29" s="68"/>
      <c r="EG29" s="59"/>
      <c r="EH29" s="59"/>
      <c r="EI29" s="68"/>
      <c r="EJ29" s="59"/>
      <c r="EK29" s="59"/>
      <c r="EL29" s="68"/>
      <c r="EM29" s="59"/>
      <c r="EN29" s="59"/>
      <c r="EO29" s="68"/>
      <c r="EP29" s="59"/>
      <c r="EQ29" s="59"/>
      <c r="ER29" s="68"/>
      <c r="ES29" s="59"/>
      <c r="ET29" s="59"/>
      <c r="EU29" s="68"/>
      <c r="EV29" s="59"/>
      <c r="EW29" s="59"/>
      <c r="EX29" s="68"/>
      <c r="EY29" s="59"/>
      <c r="EZ29" s="59"/>
      <c r="FA29" s="68"/>
      <c r="FB29" s="59"/>
      <c r="FC29" s="59"/>
      <c r="FD29" s="55"/>
      <c r="FE29" s="59"/>
      <c r="FF29" s="55"/>
      <c r="FG29" s="68"/>
      <c r="FH29" s="59"/>
      <c r="FI29" s="59"/>
      <c r="FJ29" s="68"/>
      <c r="FK29" s="59"/>
      <c r="FL29" s="59"/>
      <c r="FM29" s="68"/>
      <c r="FN29" s="59"/>
      <c r="FO29" s="59"/>
      <c r="FP29" s="68"/>
      <c r="FQ29" s="59"/>
      <c r="FR29" s="59"/>
      <c r="FS29" s="55"/>
      <c r="FT29" s="59"/>
      <c r="FU29" s="55"/>
      <c r="FV29" s="68"/>
      <c r="FW29" s="59"/>
      <c r="FX29" s="59"/>
      <c r="FY29" s="68"/>
      <c r="FZ29" s="59"/>
      <c r="GA29" s="59"/>
      <c r="GB29" s="68"/>
      <c r="GC29" s="59"/>
      <c r="GD29" s="59"/>
      <c r="GE29" s="68"/>
      <c r="GF29" s="59"/>
      <c r="GG29" s="59"/>
      <c r="GH29" s="68"/>
      <c r="GI29" s="59"/>
      <c r="GJ29" s="59"/>
      <c r="GK29" s="55"/>
      <c r="GL29" s="59"/>
      <c r="GM29" s="55"/>
      <c r="GN29" s="59"/>
      <c r="GO29" s="55"/>
      <c r="GP29" s="55"/>
      <c r="GQ29" s="55"/>
      <c r="GR29" s="59"/>
    </row>
    <row r="30" spans="1:200" s="83" customFormat="1" ht="90" x14ac:dyDescent="0.3">
      <c r="A30" s="55"/>
      <c r="B30" s="100" t="s">
        <v>181</v>
      </c>
      <c r="C30" s="101" t="s">
        <v>226</v>
      </c>
      <c r="D30" s="11" t="s">
        <v>182</v>
      </c>
      <c r="E30" s="51">
        <v>3</v>
      </c>
      <c r="F30" s="51">
        <v>1998</v>
      </c>
      <c r="G30" s="59"/>
      <c r="H30" s="51"/>
      <c r="I30" s="51"/>
      <c r="J30" s="68"/>
      <c r="K30" s="51"/>
      <c r="L30" s="51"/>
      <c r="M30" s="68"/>
      <c r="N30" s="51"/>
      <c r="O30" s="51"/>
      <c r="P30" s="68"/>
      <c r="Q30" s="71"/>
      <c r="R30" s="71"/>
      <c r="S30" s="68"/>
      <c r="T30" s="51"/>
      <c r="U30" s="51"/>
      <c r="V30" s="68"/>
      <c r="W30" s="51"/>
      <c r="X30" s="51"/>
      <c r="Y30" s="68"/>
      <c r="Z30" s="51"/>
      <c r="AA30" s="51"/>
      <c r="AB30" s="68"/>
      <c r="AC30" s="51"/>
      <c r="AD30" s="51"/>
      <c r="AE30" s="68"/>
      <c r="AF30" s="51"/>
      <c r="AG30" s="51"/>
      <c r="AH30" s="68"/>
      <c r="AI30" s="51"/>
      <c r="AJ30" s="51"/>
      <c r="AK30" s="68"/>
      <c r="AL30" s="51"/>
      <c r="AM30" s="51"/>
      <c r="AN30" s="68"/>
      <c r="AO30" s="51"/>
      <c r="AP30" s="51"/>
      <c r="AQ30" s="68"/>
      <c r="AR30" s="51"/>
      <c r="AS30" s="51"/>
      <c r="AT30" s="68"/>
      <c r="AU30" s="51"/>
      <c r="AV30" s="51"/>
      <c r="AW30" s="68"/>
      <c r="AX30" s="51"/>
      <c r="AY30" s="51"/>
      <c r="AZ30" s="68"/>
      <c r="BA30" s="51"/>
      <c r="BB30" s="51"/>
      <c r="BC30" s="68"/>
      <c r="BD30" s="51"/>
      <c r="BE30" s="51"/>
      <c r="BF30" s="68"/>
      <c r="BG30" s="51"/>
      <c r="BH30" s="51"/>
      <c r="BI30" s="68"/>
      <c r="BJ30" s="51"/>
      <c r="BK30" s="51"/>
      <c r="BL30" s="68"/>
      <c r="BM30" s="51"/>
      <c r="BN30" s="51"/>
      <c r="BO30" s="68"/>
      <c r="BP30" s="51"/>
      <c r="BQ30" s="51"/>
      <c r="BR30" s="68"/>
      <c r="BS30" s="24">
        <f>(264*(W3)*(105/63.9))</f>
        <v>303.66197183098586</v>
      </c>
      <c r="BT30" s="51" t="s">
        <v>79</v>
      </c>
      <c r="BU30" s="68"/>
      <c r="BV30" s="51"/>
      <c r="BW30" s="51"/>
      <c r="BX30" s="68"/>
      <c r="BY30" s="51"/>
      <c r="BZ30" s="51"/>
      <c r="CA30" s="68"/>
      <c r="CB30" s="51"/>
      <c r="CC30" s="51"/>
      <c r="CD30" s="68"/>
      <c r="CE30" s="51"/>
      <c r="CF30" s="51"/>
      <c r="CG30" s="68"/>
      <c r="CH30" s="71"/>
      <c r="CI30" s="71"/>
      <c r="CJ30" s="68"/>
      <c r="CK30" s="24">
        <f>(894*(W3)*(105/63.9))+(860*(W3)*(105/63.9))</f>
        <v>2017.5117370892017</v>
      </c>
      <c r="CL30" s="24" t="s">
        <v>79</v>
      </c>
      <c r="CM30" s="68"/>
      <c r="CN30" s="24">
        <f>(225*(W3)*(105/63.9))</f>
        <v>258.80281690140845</v>
      </c>
      <c r="CO30" s="51" t="s">
        <v>79</v>
      </c>
      <c r="CP30" s="68"/>
      <c r="CQ30" s="51"/>
      <c r="CR30" s="51"/>
      <c r="CS30" s="66"/>
      <c r="CT30" s="71"/>
      <c r="CU30" s="66"/>
      <c r="CV30" s="65"/>
      <c r="CW30" s="51"/>
      <c r="CX30" s="51"/>
      <c r="CY30" s="68"/>
      <c r="CZ30" s="51"/>
      <c r="DA30" s="51"/>
      <c r="DB30" s="68"/>
      <c r="DC30" s="51"/>
      <c r="DD30" s="51"/>
      <c r="DE30" s="68"/>
      <c r="DF30" s="51"/>
      <c r="DG30" s="51"/>
      <c r="DH30" s="68"/>
      <c r="DI30" s="51"/>
      <c r="DJ30" s="51"/>
      <c r="DK30" s="68"/>
      <c r="DL30" s="24">
        <f>(800*(W3)*(105/63.9))</f>
        <v>920.18779342723008</v>
      </c>
      <c r="DM30" s="51" t="s">
        <v>79</v>
      </c>
      <c r="DN30" s="68"/>
      <c r="DO30" s="71"/>
      <c r="DP30" s="71"/>
      <c r="DQ30" s="68"/>
      <c r="DR30" s="51"/>
      <c r="DS30" s="51"/>
      <c r="DT30" s="68"/>
      <c r="DU30" s="51"/>
      <c r="DV30" s="51"/>
      <c r="DW30" s="68"/>
      <c r="DX30" s="51"/>
      <c r="DY30" s="51"/>
      <c r="DZ30" s="68"/>
      <c r="EA30" s="71"/>
      <c r="EB30" s="71"/>
      <c r="EC30" s="68"/>
      <c r="ED30" s="51"/>
      <c r="EE30" s="51"/>
      <c r="EF30" s="68"/>
      <c r="EG30" s="51"/>
      <c r="EH30" s="51"/>
      <c r="EI30" s="68"/>
      <c r="EJ30" s="51"/>
      <c r="EK30" s="51"/>
      <c r="EL30" s="68"/>
      <c r="EM30" s="51"/>
      <c r="EN30" s="51"/>
      <c r="EO30" s="68"/>
      <c r="EP30" s="51"/>
      <c r="EQ30" s="51"/>
      <c r="ER30" s="68"/>
      <c r="ES30" s="71"/>
      <c r="ET30" s="71"/>
      <c r="EU30" s="68"/>
      <c r="EV30" s="51"/>
      <c r="EW30" s="51"/>
      <c r="EX30" s="68"/>
      <c r="EY30" s="51"/>
      <c r="EZ30" s="51"/>
      <c r="FA30" s="68"/>
      <c r="FB30" s="51"/>
      <c r="FC30" s="51"/>
      <c r="FD30" s="66"/>
      <c r="FE30" s="71"/>
      <c r="FF30" s="66"/>
      <c r="FG30" s="68"/>
      <c r="FH30" s="51"/>
      <c r="FI30" s="51"/>
      <c r="FJ30" s="68"/>
      <c r="FK30" s="24">
        <f>(2860*(W3)*(130.6/69.3))</f>
        <v>3772.8888888888882</v>
      </c>
      <c r="FL30" s="24" t="s">
        <v>79</v>
      </c>
      <c r="FM30" s="68"/>
      <c r="FN30" s="51"/>
      <c r="FO30" s="51"/>
      <c r="FP30" s="68"/>
      <c r="FQ30" s="24">
        <f>(1560*(W3)*(105/63.9))</f>
        <v>1794.3661971830986</v>
      </c>
      <c r="FR30" s="24" t="s">
        <v>79</v>
      </c>
      <c r="FS30" s="68"/>
      <c r="FT30" s="69"/>
      <c r="FU30" s="68"/>
      <c r="FV30" s="68"/>
      <c r="FW30" s="51"/>
      <c r="FX30" s="51"/>
      <c r="FY30" s="68"/>
      <c r="FZ30" s="51"/>
      <c r="GA30" s="51"/>
      <c r="GB30" s="68"/>
      <c r="GC30" s="51"/>
      <c r="GD30" s="51"/>
      <c r="GE30" s="68"/>
      <c r="GF30" s="51"/>
      <c r="GG30" s="51"/>
      <c r="GH30" s="68"/>
      <c r="GI30" s="51"/>
      <c r="GJ30" s="51"/>
      <c r="GK30" s="66"/>
      <c r="GL30" s="71"/>
      <c r="GM30" s="66"/>
      <c r="GN30" s="62"/>
      <c r="GO30" s="66"/>
      <c r="GP30" s="78"/>
      <c r="GQ30" s="68"/>
      <c r="GR30" s="62"/>
    </row>
    <row r="31" spans="1:200" s="83" customFormat="1" x14ac:dyDescent="0.3">
      <c r="A31" s="80"/>
      <c r="B31" s="80"/>
      <c r="C31" s="80"/>
      <c r="D31" s="81"/>
      <c r="E31" s="66"/>
      <c r="F31" s="66"/>
      <c r="G31" s="59"/>
      <c r="H31" s="66"/>
      <c r="I31" s="66"/>
      <c r="J31" s="68"/>
      <c r="K31" s="66"/>
      <c r="L31" s="66"/>
      <c r="M31" s="68"/>
      <c r="N31" s="66"/>
      <c r="O31" s="66"/>
      <c r="P31" s="68"/>
      <c r="Q31" s="66"/>
      <c r="R31" s="66"/>
      <c r="S31" s="68"/>
      <c r="T31" s="66"/>
      <c r="U31" s="66"/>
      <c r="V31" s="68"/>
      <c r="W31" s="66"/>
      <c r="X31" s="66"/>
      <c r="Y31" s="68"/>
      <c r="Z31" s="66"/>
      <c r="AA31" s="66"/>
      <c r="AB31" s="68"/>
      <c r="AC31" s="66"/>
      <c r="AD31" s="66"/>
      <c r="AE31" s="68"/>
      <c r="AF31" s="66"/>
      <c r="AG31" s="66"/>
      <c r="AH31" s="68"/>
      <c r="AI31" s="66"/>
      <c r="AJ31" s="66"/>
      <c r="AK31" s="68"/>
      <c r="AL31" s="66"/>
      <c r="AM31" s="66"/>
      <c r="AN31" s="68"/>
      <c r="AO31" s="66"/>
      <c r="AP31" s="66"/>
      <c r="AQ31" s="68"/>
      <c r="AR31" s="66"/>
      <c r="AS31" s="66"/>
      <c r="AT31" s="68"/>
      <c r="AU31" s="66"/>
      <c r="AV31" s="66"/>
      <c r="AW31" s="68"/>
      <c r="AX31" s="66"/>
      <c r="AY31" s="66"/>
      <c r="AZ31" s="68"/>
      <c r="BA31" s="66"/>
      <c r="BB31" s="66"/>
      <c r="BC31" s="68"/>
      <c r="BD31" s="66"/>
      <c r="BE31" s="66"/>
      <c r="BF31" s="68"/>
      <c r="BG31" s="66"/>
      <c r="BH31" s="66"/>
      <c r="BI31" s="68"/>
      <c r="BJ31" s="66"/>
      <c r="BK31" s="66"/>
      <c r="BL31" s="68"/>
      <c r="BM31" s="66"/>
      <c r="BN31" s="66"/>
      <c r="BO31" s="68"/>
      <c r="BP31" s="66"/>
      <c r="BQ31" s="66"/>
      <c r="BR31" s="68"/>
      <c r="BS31" s="68"/>
      <c r="BT31" s="66"/>
      <c r="BU31" s="68"/>
      <c r="BV31" s="66"/>
      <c r="BW31" s="66"/>
      <c r="BX31" s="68"/>
      <c r="BY31" s="66"/>
      <c r="BZ31" s="66"/>
      <c r="CA31" s="68"/>
      <c r="CB31" s="66"/>
      <c r="CC31" s="66"/>
      <c r="CD31" s="68"/>
      <c r="CE31" s="66"/>
      <c r="CF31" s="66"/>
      <c r="CG31" s="68"/>
      <c r="CH31" s="66"/>
      <c r="CI31" s="66"/>
      <c r="CJ31" s="68"/>
      <c r="CK31" s="68"/>
      <c r="CL31" s="68"/>
      <c r="CM31" s="68"/>
      <c r="CN31" s="68"/>
      <c r="CO31" s="66"/>
      <c r="CP31" s="68"/>
      <c r="CQ31" s="66"/>
      <c r="CR31" s="66"/>
      <c r="CS31" s="66"/>
      <c r="CT31" s="66"/>
      <c r="CU31" s="66"/>
      <c r="CV31" s="65"/>
      <c r="CW31" s="66"/>
      <c r="CX31" s="66"/>
      <c r="CY31" s="68"/>
      <c r="CZ31" s="66"/>
      <c r="DA31" s="66"/>
      <c r="DB31" s="68"/>
      <c r="DC31" s="66"/>
      <c r="DD31" s="66"/>
      <c r="DE31" s="68"/>
      <c r="DF31" s="66"/>
      <c r="DG31" s="66"/>
      <c r="DH31" s="68"/>
      <c r="DI31" s="66"/>
      <c r="DJ31" s="66"/>
      <c r="DK31" s="68"/>
      <c r="DL31" s="68"/>
      <c r="DM31" s="66"/>
      <c r="DN31" s="68"/>
      <c r="DO31" s="66"/>
      <c r="DP31" s="66"/>
      <c r="DQ31" s="68"/>
      <c r="DR31" s="66"/>
      <c r="DS31" s="66"/>
      <c r="DT31" s="68"/>
      <c r="DU31" s="66"/>
      <c r="DV31" s="66"/>
      <c r="DW31" s="68"/>
      <c r="DX31" s="66"/>
      <c r="DY31" s="66"/>
      <c r="DZ31" s="68"/>
      <c r="EA31" s="66"/>
      <c r="EB31" s="66"/>
      <c r="EC31" s="68"/>
      <c r="ED31" s="66"/>
      <c r="EE31" s="66"/>
      <c r="EF31" s="68"/>
      <c r="EG31" s="66"/>
      <c r="EH31" s="66"/>
      <c r="EI31" s="68"/>
      <c r="EJ31" s="66"/>
      <c r="EK31" s="66"/>
      <c r="EL31" s="68"/>
      <c r="EM31" s="66"/>
      <c r="EN31" s="66"/>
      <c r="EO31" s="68"/>
      <c r="EP31" s="66"/>
      <c r="EQ31" s="66"/>
      <c r="ER31" s="68"/>
      <c r="ES31" s="66"/>
      <c r="ET31" s="66"/>
      <c r="EU31" s="68"/>
      <c r="EV31" s="66"/>
      <c r="EW31" s="66"/>
      <c r="EX31" s="68"/>
      <c r="EY31" s="66"/>
      <c r="EZ31" s="66"/>
      <c r="FA31" s="68"/>
      <c r="FB31" s="66"/>
      <c r="FC31" s="66"/>
      <c r="FD31" s="66"/>
      <c r="FE31" s="66"/>
      <c r="FF31" s="66"/>
      <c r="FG31" s="68"/>
      <c r="FH31" s="66"/>
      <c r="FI31" s="66"/>
      <c r="FJ31" s="68"/>
      <c r="FK31" s="68"/>
      <c r="FL31" s="68"/>
      <c r="FM31" s="68"/>
      <c r="FN31" s="66"/>
      <c r="FO31" s="66"/>
      <c r="FP31" s="68"/>
      <c r="FQ31" s="68"/>
      <c r="FR31" s="68"/>
      <c r="FS31" s="68"/>
      <c r="FT31" s="68"/>
      <c r="FU31" s="68"/>
      <c r="FV31" s="68"/>
      <c r="FW31" s="66"/>
      <c r="FX31" s="66"/>
      <c r="FY31" s="68"/>
      <c r="FZ31" s="66"/>
      <c r="GA31" s="66"/>
      <c r="GB31" s="68"/>
      <c r="GC31" s="66"/>
      <c r="GD31" s="66"/>
      <c r="GE31" s="68"/>
      <c r="GF31" s="66"/>
      <c r="GG31" s="66"/>
      <c r="GH31" s="68"/>
      <c r="GI31" s="66"/>
      <c r="GJ31" s="66"/>
      <c r="GK31" s="66"/>
      <c r="GL31" s="66"/>
      <c r="GM31" s="66"/>
      <c r="GN31" s="62"/>
      <c r="GO31" s="66"/>
      <c r="GP31" s="78"/>
      <c r="GQ31" s="66"/>
      <c r="GR31" s="62"/>
    </row>
    <row r="32" spans="1:200" s="83" customFormat="1" x14ac:dyDescent="0.3">
      <c r="A32" s="80"/>
      <c r="B32" s="80"/>
      <c r="C32" s="80"/>
      <c r="D32" s="81"/>
      <c r="E32" s="66"/>
      <c r="F32" s="66"/>
      <c r="G32" s="59"/>
      <c r="H32" s="66"/>
      <c r="I32" s="66"/>
      <c r="J32" s="68"/>
      <c r="K32" s="66"/>
      <c r="L32" s="66"/>
      <c r="M32" s="68"/>
      <c r="N32" s="66"/>
      <c r="O32" s="66"/>
      <c r="P32" s="68"/>
      <c r="Q32" s="66"/>
      <c r="R32" s="66"/>
      <c r="S32" s="68"/>
      <c r="T32" s="66"/>
      <c r="U32" s="66"/>
      <c r="V32" s="68"/>
      <c r="W32" s="66"/>
      <c r="X32" s="66"/>
      <c r="Y32" s="68"/>
      <c r="Z32" s="66"/>
      <c r="AA32" s="66"/>
      <c r="AB32" s="68"/>
      <c r="AC32" s="66"/>
      <c r="AD32" s="66"/>
      <c r="AE32" s="68"/>
      <c r="AF32" s="66"/>
      <c r="AG32" s="66"/>
      <c r="AH32" s="68"/>
      <c r="AI32" s="66"/>
      <c r="AJ32" s="66"/>
      <c r="AK32" s="68"/>
      <c r="AL32" s="66"/>
      <c r="AM32" s="66"/>
      <c r="AN32" s="68"/>
      <c r="AO32" s="66"/>
      <c r="AP32" s="66"/>
      <c r="AQ32" s="68"/>
      <c r="AR32" s="66"/>
      <c r="AS32" s="66"/>
      <c r="AT32" s="68"/>
      <c r="AU32" s="66"/>
      <c r="AV32" s="66"/>
      <c r="AW32" s="68"/>
      <c r="AX32" s="66"/>
      <c r="AY32" s="66"/>
      <c r="AZ32" s="68"/>
      <c r="BA32" s="66"/>
      <c r="BB32" s="66"/>
      <c r="BC32" s="68"/>
      <c r="BD32" s="66"/>
      <c r="BE32" s="66"/>
      <c r="BF32" s="68"/>
      <c r="BG32" s="66"/>
      <c r="BH32" s="66"/>
      <c r="BI32" s="68"/>
      <c r="BJ32" s="66"/>
      <c r="BK32" s="66"/>
      <c r="BL32" s="68"/>
      <c r="BM32" s="66"/>
      <c r="BN32" s="66"/>
      <c r="BO32" s="68"/>
      <c r="BP32" s="66"/>
      <c r="BQ32" s="66"/>
      <c r="BR32" s="68"/>
      <c r="BS32" s="68"/>
      <c r="BT32" s="66"/>
      <c r="BU32" s="68"/>
      <c r="BV32" s="66"/>
      <c r="BW32" s="66"/>
      <c r="BX32" s="68"/>
      <c r="BY32" s="66"/>
      <c r="BZ32" s="66"/>
      <c r="CA32" s="68"/>
      <c r="CB32" s="66"/>
      <c r="CC32" s="66"/>
      <c r="CD32" s="68"/>
      <c r="CE32" s="66"/>
      <c r="CF32" s="66"/>
      <c r="CG32" s="68"/>
      <c r="CH32" s="66"/>
      <c r="CI32" s="66"/>
      <c r="CJ32" s="68"/>
      <c r="CK32" s="68"/>
      <c r="CL32" s="68"/>
      <c r="CM32" s="68"/>
      <c r="CN32" s="68"/>
      <c r="CO32" s="66"/>
      <c r="CP32" s="68"/>
      <c r="CQ32" s="66"/>
      <c r="CR32" s="66"/>
      <c r="CS32" s="66"/>
      <c r="CT32" s="66"/>
      <c r="CU32" s="66"/>
      <c r="CV32" s="65"/>
      <c r="CW32" s="66"/>
      <c r="CX32" s="66"/>
      <c r="CY32" s="68"/>
      <c r="CZ32" s="66"/>
      <c r="DA32" s="66"/>
      <c r="DB32" s="68"/>
      <c r="DC32" s="66"/>
      <c r="DD32" s="66"/>
      <c r="DE32" s="68"/>
      <c r="DF32" s="66"/>
      <c r="DG32" s="66"/>
      <c r="DH32" s="68"/>
      <c r="DI32" s="66"/>
      <c r="DJ32" s="66"/>
      <c r="DK32" s="68"/>
      <c r="DL32" s="68"/>
      <c r="DM32" s="66"/>
      <c r="DN32" s="68"/>
      <c r="DO32" s="66"/>
      <c r="DP32" s="66"/>
      <c r="DQ32" s="68"/>
      <c r="DR32" s="66"/>
      <c r="DS32" s="66"/>
      <c r="DT32" s="68"/>
      <c r="DU32" s="66"/>
      <c r="DV32" s="66"/>
      <c r="DW32" s="68"/>
      <c r="DX32" s="66"/>
      <c r="DY32" s="66"/>
      <c r="DZ32" s="68"/>
      <c r="EA32" s="66"/>
      <c r="EB32" s="66"/>
      <c r="EC32" s="68"/>
      <c r="ED32" s="66"/>
      <c r="EE32" s="66"/>
      <c r="EF32" s="68"/>
      <c r="EG32" s="66"/>
      <c r="EH32" s="66"/>
      <c r="EI32" s="68"/>
      <c r="EJ32" s="66"/>
      <c r="EK32" s="66"/>
      <c r="EL32" s="68"/>
      <c r="EM32" s="66"/>
      <c r="EN32" s="66"/>
      <c r="EO32" s="68"/>
      <c r="EP32" s="66"/>
      <c r="EQ32" s="66"/>
      <c r="ER32" s="68"/>
      <c r="ES32" s="66"/>
      <c r="ET32" s="66"/>
      <c r="EU32" s="68"/>
      <c r="EV32" s="66"/>
      <c r="EW32" s="66"/>
      <c r="EX32" s="68"/>
      <c r="EY32" s="66"/>
      <c r="EZ32" s="66"/>
      <c r="FA32" s="68"/>
      <c r="FB32" s="66"/>
      <c r="FC32" s="66"/>
      <c r="FD32" s="66"/>
      <c r="FE32" s="66"/>
      <c r="FF32" s="66"/>
      <c r="FG32" s="68"/>
      <c r="FH32" s="66"/>
      <c r="FI32" s="66"/>
      <c r="FJ32" s="68"/>
      <c r="FK32" s="68"/>
      <c r="FL32" s="68"/>
      <c r="FM32" s="68"/>
      <c r="FN32" s="66"/>
      <c r="FO32" s="66"/>
      <c r="FP32" s="68"/>
      <c r="FQ32" s="68"/>
      <c r="FR32" s="68"/>
      <c r="FS32" s="68"/>
      <c r="FT32" s="68"/>
      <c r="FU32" s="68"/>
      <c r="FV32" s="68"/>
      <c r="FW32" s="66"/>
      <c r="FX32" s="66"/>
      <c r="FY32" s="68"/>
      <c r="FZ32" s="66"/>
      <c r="GA32" s="66"/>
      <c r="GB32" s="68"/>
      <c r="GC32" s="66"/>
      <c r="GD32" s="66"/>
      <c r="GE32" s="68"/>
      <c r="GF32" s="66"/>
      <c r="GG32" s="66"/>
      <c r="GH32" s="68"/>
      <c r="GI32" s="66"/>
      <c r="GJ32" s="66"/>
      <c r="GK32" s="66"/>
      <c r="GL32" s="66"/>
      <c r="GM32" s="66"/>
      <c r="GN32" s="62"/>
      <c r="GO32" s="66"/>
      <c r="GP32" s="78"/>
      <c r="GQ32" s="66"/>
      <c r="GR32" s="62"/>
    </row>
    <row r="33" spans="1:200" x14ac:dyDescent="0.3">
      <c r="A33" s="80"/>
      <c r="B33" s="59"/>
      <c r="C33" s="59"/>
      <c r="D33" s="59"/>
      <c r="E33" s="62"/>
      <c r="F33" s="59"/>
      <c r="G33" s="59"/>
      <c r="H33" s="59"/>
      <c r="I33" s="59"/>
      <c r="J33" s="65"/>
      <c r="K33" s="59"/>
      <c r="L33" s="59"/>
      <c r="M33" s="65"/>
      <c r="N33" s="59"/>
      <c r="O33" s="59"/>
      <c r="P33" s="65"/>
      <c r="Q33" s="59"/>
      <c r="R33" s="59"/>
      <c r="S33" s="65"/>
      <c r="T33" s="59"/>
      <c r="U33" s="59"/>
      <c r="V33" s="65"/>
      <c r="W33" s="59"/>
      <c r="X33" s="59"/>
      <c r="Y33" s="65"/>
      <c r="Z33" s="59"/>
      <c r="AA33" s="59"/>
      <c r="AB33" s="65"/>
      <c r="AC33" s="59"/>
      <c r="AD33" s="59"/>
      <c r="AE33" s="65"/>
      <c r="AF33" s="59"/>
      <c r="AG33" s="59"/>
      <c r="AH33" s="65"/>
      <c r="AI33" s="59"/>
      <c r="AJ33" s="59"/>
      <c r="AK33" s="65"/>
      <c r="AL33" s="59"/>
      <c r="AM33" s="59"/>
      <c r="AN33" s="65"/>
      <c r="AO33" s="59"/>
      <c r="AP33" s="59"/>
      <c r="AQ33" s="65"/>
      <c r="AR33" s="59"/>
      <c r="AS33" s="59"/>
      <c r="AT33" s="65"/>
      <c r="AU33" s="59"/>
      <c r="AV33" s="59"/>
      <c r="AW33" s="65"/>
      <c r="AX33" s="59"/>
      <c r="AY33" s="59"/>
      <c r="AZ33" s="65"/>
      <c r="BA33" s="59"/>
      <c r="BB33" s="59"/>
      <c r="BC33" s="65"/>
      <c r="BD33" s="59"/>
      <c r="BE33" s="59"/>
      <c r="BF33" s="65"/>
      <c r="BG33" s="59"/>
      <c r="BH33" s="59"/>
      <c r="BI33" s="65"/>
      <c r="BJ33" s="59"/>
      <c r="BK33" s="59"/>
      <c r="BL33" s="65"/>
      <c r="BM33" s="59"/>
      <c r="BN33" s="59"/>
      <c r="BO33" s="65"/>
      <c r="BP33" s="59"/>
      <c r="BQ33" s="59"/>
      <c r="BR33" s="65"/>
      <c r="BS33" s="59"/>
      <c r="BT33" s="59"/>
      <c r="BU33" s="65"/>
      <c r="BV33" s="59"/>
      <c r="BW33" s="59"/>
      <c r="BX33" s="65"/>
      <c r="BY33" s="59"/>
      <c r="BZ33" s="59"/>
      <c r="CA33" s="65"/>
      <c r="CB33" s="59"/>
      <c r="CC33" s="59"/>
      <c r="CD33" s="65"/>
      <c r="CE33" s="59"/>
      <c r="CF33" s="59"/>
      <c r="CG33" s="65"/>
      <c r="CH33" s="59"/>
      <c r="CI33" s="59"/>
      <c r="CJ33" s="65"/>
      <c r="CK33" s="59"/>
      <c r="CL33" s="59"/>
      <c r="CM33" s="65"/>
      <c r="CN33" s="59"/>
      <c r="CO33" s="59"/>
      <c r="CP33" s="65"/>
      <c r="CQ33" s="59"/>
      <c r="CR33" s="59"/>
      <c r="CS33" s="59"/>
      <c r="CT33" s="59"/>
      <c r="CU33" s="59"/>
      <c r="CV33" s="65"/>
      <c r="CW33" s="59"/>
      <c r="CX33" s="59"/>
      <c r="CY33" s="65"/>
      <c r="CZ33" s="59"/>
      <c r="DA33" s="59"/>
      <c r="DB33" s="65"/>
      <c r="DC33" s="59"/>
      <c r="DD33" s="59"/>
      <c r="DE33" s="65"/>
      <c r="DF33" s="59"/>
      <c r="DG33" s="59"/>
      <c r="DH33" s="65"/>
      <c r="DI33" s="59"/>
      <c r="DJ33" s="59"/>
      <c r="DK33" s="65"/>
      <c r="DL33" s="59"/>
      <c r="DM33" s="59"/>
      <c r="DN33" s="65"/>
      <c r="DO33" s="59"/>
      <c r="DP33" s="59"/>
      <c r="DQ33" s="65"/>
      <c r="DR33" s="59"/>
      <c r="DS33" s="59"/>
      <c r="DT33" s="65"/>
      <c r="DU33" s="59"/>
      <c r="DV33" s="59"/>
      <c r="DW33" s="65"/>
      <c r="DX33" s="59"/>
      <c r="DY33" s="59"/>
      <c r="DZ33" s="65"/>
      <c r="EA33" s="59"/>
      <c r="EB33" s="59"/>
      <c r="EC33" s="65"/>
      <c r="ED33" s="59"/>
      <c r="EE33" s="59"/>
      <c r="EF33" s="65"/>
      <c r="EG33" s="59"/>
      <c r="EH33" s="59"/>
      <c r="EI33" s="65"/>
      <c r="EJ33" s="59"/>
      <c r="EK33" s="59"/>
      <c r="EL33" s="65"/>
      <c r="EM33" s="59"/>
      <c r="EN33" s="59"/>
      <c r="EO33" s="65"/>
      <c r="EP33" s="59"/>
      <c r="EQ33" s="59"/>
      <c r="ER33" s="65"/>
      <c r="ES33" s="59"/>
      <c r="ET33" s="59"/>
      <c r="EU33" s="65"/>
      <c r="EV33" s="59"/>
      <c r="EW33" s="59"/>
      <c r="EX33" s="65"/>
      <c r="EY33" s="59"/>
      <c r="EZ33" s="59"/>
      <c r="FA33" s="65"/>
      <c r="FB33" s="59"/>
      <c r="FC33" s="59"/>
      <c r="FD33" s="59"/>
      <c r="FE33" s="59"/>
      <c r="FF33" s="59"/>
      <c r="FG33" s="65"/>
      <c r="FH33" s="59"/>
      <c r="FI33" s="59"/>
      <c r="FJ33" s="65"/>
      <c r="FK33" s="59"/>
      <c r="FL33" s="59"/>
      <c r="FM33" s="65"/>
      <c r="FN33" s="59"/>
      <c r="FO33" s="59"/>
      <c r="FP33" s="65"/>
      <c r="FQ33" s="59"/>
      <c r="FR33" s="59"/>
      <c r="FS33" s="59"/>
      <c r="FT33" s="59"/>
      <c r="FU33" s="59"/>
      <c r="FV33" s="65"/>
      <c r="FW33" s="59"/>
      <c r="FX33" s="59"/>
      <c r="FY33" s="65"/>
      <c r="FZ33" s="59"/>
      <c r="GA33" s="59"/>
      <c r="GB33" s="65"/>
      <c r="GC33" s="59"/>
      <c r="GD33" s="59"/>
      <c r="GE33" s="65"/>
      <c r="GF33" s="59"/>
      <c r="GG33" s="59"/>
      <c r="GH33" s="65"/>
      <c r="GI33" s="59"/>
      <c r="GJ33" s="59"/>
      <c r="GK33" s="59"/>
      <c r="GL33" s="59"/>
      <c r="GM33" s="59"/>
      <c r="GN33" s="59"/>
      <c r="GO33" s="59"/>
      <c r="GP33" s="61" t="s">
        <v>189</v>
      </c>
      <c r="GQ33" s="59"/>
      <c r="GR33" s="59"/>
    </row>
    <row r="34" spans="1:200" x14ac:dyDescent="0.3">
      <c r="A34" s="80"/>
      <c r="B34" s="54" t="s">
        <v>141</v>
      </c>
      <c r="C34" s="54"/>
      <c r="D34" s="55"/>
      <c r="E34" s="66"/>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9"/>
      <c r="GO34" s="78" t="s">
        <v>145</v>
      </c>
      <c r="GP34" s="78" t="s">
        <v>146</v>
      </c>
      <c r="GQ34" s="78" t="s">
        <v>147</v>
      </c>
      <c r="GR34" s="59"/>
    </row>
    <row r="35" spans="1:200" s="83" customFormat="1" ht="28" x14ac:dyDescent="0.35">
      <c r="A35" s="80"/>
      <c r="B35" s="51"/>
      <c r="C35" s="95"/>
      <c r="D35" s="11" t="s">
        <v>183</v>
      </c>
      <c r="E35" s="51">
        <v>1</v>
      </c>
      <c r="F35" s="51"/>
      <c r="G35" s="51"/>
      <c r="H35" s="51"/>
      <c r="I35" s="51"/>
      <c r="J35" s="51"/>
      <c r="K35" s="51"/>
      <c r="L35" s="51"/>
      <c r="M35" s="51"/>
      <c r="N35" s="51"/>
      <c r="O35" s="51"/>
      <c r="P35" s="51"/>
      <c r="Q35" s="24">
        <f>K6-L6</f>
        <v>627515.77154135355</v>
      </c>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24">
        <f>CH6</f>
        <v>10548.967067669173</v>
      </c>
      <c r="CI35" s="51"/>
      <c r="CJ35" s="51"/>
      <c r="CK35" s="24">
        <f>0</f>
        <v>0</v>
      </c>
      <c r="CL35" s="51"/>
      <c r="CM35" s="51"/>
      <c r="CN35" s="24">
        <f>CN6-CO6</f>
        <v>8841.8006766917297</v>
      </c>
      <c r="CO35" s="51"/>
      <c r="CP35" s="51"/>
      <c r="CQ35" s="24">
        <f>IF(CQ6-CR6&lt;0,0,CQ6-CR6)</f>
        <v>0</v>
      </c>
      <c r="CR35" s="51"/>
      <c r="CS35" s="113"/>
      <c r="CT35" s="24">
        <f>CK35+CN35+CQ35</f>
        <v>8841.8006766917297</v>
      </c>
      <c r="CU35" s="113"/>
      <c r="CV35" s="114"/>
      <c r="CW35" s="51"/>
      <c r="CX35" s="51"/>
      <c r="CY35" s="51"/>
      <c r="CZ35" s="51"/>
      <c r="DA35" s="51"/>
      <c r="DB35" s="51"/>
      <c r="DC35" s="51"/>
      <c r="DD35" s="51"/>
      <c r="DE35" s="51"/>
      <c r="DF35" s="51"/>
      <c r="DG35" s="51"/>
      <c r="DH35" s="51"/>
      <c r="DI35" s="51"/>
      <c r="DJ35" s="51"/>
      <c r="DK35" s="51"/>
      <c r="DL35" s="51"/>
      <c r="DM35" s="51"/>
      <c r="DN35" s="51"/>
      <c r="DO35" s="24">
        <v>0</v>
      </c>
      <c r="DP35" s="51"/>
      <c r="DQ35" s="51"/>
      <c r="DR35" s="51"/>
      <c r="DS35" s="51"/>
      <c r="DT35" s="51"/>
      <c r="DU35" s="51"/>
      <c r="DV35" s="51"/>
      <c r="DW35" s="51"/>
      <c r="DX35" s="51"/>
      <c r="DY35" s="51"/>
      <c r="DZ35" s="51"/>
      <c r="EA35" s="24">
        <f>IF(EA6-EB6&lt;0,0,EA6-EB6)</f>
        <v>0</v>
      </c>
      <c r="EB35" s="51"/>
      <c r="EC35" s="51"/>
      <c r="ED35" s="51"/>
      <c r="EE35" s="51"/>
      <c r="EF35" s="51"/>
      <c r="EG35" s="51"/>
      <c r="EH35" s="51"/>
      <c r="EI35" s="51"/>
      <c r="EJ35" s="51"/>
      <c r="EK35" s="51"/>
      <c r="EL35" s="51"/>
      <c r="EM35" s="51"/>
      <c r="EN35" s="51"/>
      <c r="EO35" s="51"/>
      <c r="EP35" s="51"/>
      <c r="EQ35" s="51"/>
      <c r="ER35" s="51"/>
      <c r="ES35" s="24">
        <v>0</v>
      </c>
      <c r="ET35" s="51"/>
      <c r="EU35" s="51"/>
      <c r="EV35" s="24">
        <f>EV14</f>
        <v>12219.814941668938</v>
      </c>
      <c r="EW35" s="51"/>
      <c r="EX35" s="51"/>
      <c r="EY35" s="51"/>
      <c r="EZ35" s="51"/>
      <c r="FA35" s="51"/>
      <c r="FB35" s="51"/>
      <c r="FC35" s="51"/>
      <c r="FD35" s="113"/>
      <c r="FE35" s="24">
        <f>EV35</f>
        <v>12219.814941668938</v>
      </c>
      <c r="FF35" s="113"/>
      <c r="FG35" s="51"/>
      <c r="FH35" s="51"/>
      <c r="FI35" s="51"/>
      <c r="FJ35" s="51"/>
      <c r="FK35" s="24">
        <f>IF(FK6-FL6&lt;0,0,FK6-FL6)</f>
        <v>0</v>
      </c>
      <c r="FL35" s="51"/>
      <c r="FM35" s="51"/>
      <c r="FN35" s="24">
        <f>FN6</f>
        <v>1559.3974060150376</v>
      </c>
      <c r="FO35" s="51"/>
      <c r="FP35" s="51"/>
      <c r="FQ35" s="24">
        <f>FQ14</f>
        <v>6134.025342601788</v>
      </c>
      <c r="FR35" s="51"/>
      <c r="FS35" s="113"/>
      <c r="FT35" s="24">
        <f>FK35+FN35+FQ35</f>
        <v>7693.4227486168256</v>
      </c>
      <c r="FU35" s="113"/>
      <c r="FV35" s="114"/>
      <c r="FW35" s="24">
        <f>FW14</f>
        <v>30234.211886161549</v>
      </c>
      <c r="FX35" s="51"/>
      <c r="FY35" s="51"/>
      <c r="FZ35" s="51"/>
      <c r="GA35" s="51"/>
      <c r="GB35" s="51"/>
      <c r="GC35" s="51"/>
      <c r="GD35" s="51"/>
      <c r="GE35" s="51"/>
      <c r="GF35" s="51"/>
      <c r="GG35" s="51"/>
      <c r="GH35" s="51"/>
      <c r="GI35" s="51"/>
      <c r="GJ35" s="51"/>
      <c r="GK35" s="113"/>
      <c r="GL35" s="24">
        <f>FW35</f>
        <v>30234.211886161549</v>
      </c>
      <c r="GM35" s="113"/>
      <c r="GN35" s="62"/>
      <c r="GO35" s="24">
        <f>Q35+CH35+CK35+CN35+CQ35</f>
        <v>646906.53928571439</v>
      </c>
      <c r="GP35" s="24">
        <f>EA35+EV35+FK35+FN35+FQ35+FW35</f>
        <v>50147.44957644731</v>
      </c>
      <c r="GQ35" s="24">
        <f>GO35+GP35</f>
        <v>697053.98886216176</v>
      </c>
      <c r="GR35" s="62"/>
    </row>
    <row r="36" spans="1:200" s="83" customFormat="1" ht="28" x14ac:dyDescent="0.35">
      <c r="A36" s="80"/>
      <c r="B36" s="51"/>
      <c r="C36" s="95"/>
      <c r="D36" s="11" t="s">
        <v>184</v>
      </c>
      <c r="E36" s="51">
        <v>1</v>
      </c>
      <c r="F36" s="51"/>
      <c r="G36" s="51"/>
      <c r="H36" s="51"/>
      <c r="I36" s="51"/>
      <c r="J36" s="51"/>
      <c r="K36" s="51"/>
      <c r="L36" s="51"/>
      <c r="M36" s="51"/>
      <c r="N36" s="51"/>
      <c r="O36" s="51"/>
      <c r="P36" s="51"/>
      <c r="Q36" s="24">
        <f>IF(Q7-L7&lt;0,0,Q7-L7)</f>
        <v>0</v>
      </c>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24">
        <f>CH7</f>
        <v>5983.7746616541353</v>
      </c>
      <c r="CI36" s="51"/>
      <c r="CJ36" s="51"/>
      <c r="CK36" s="24">
        <f>IF(CK7-CL7&lt;0,0,CK7-CL7)</f>
        <v>0</v>
      </c>
      <c r="CL36" s="51"/>
      <c r="CM36" s="51"/>
      <c r="CN36" s="24">
        <f>CN7</f>
        <v>25310.219436090225</v>
      </c>
      <c r="CO36" s="51"/>
      <c r="CP36" s="51"/>
      <c r="CQ36" s="24">
        <f>IF(CQ7-CR7&lt;0,0,CQ7-CR7)</f>
        <v>0</v>
      </c>
      <c r="CR36" s="51"/>
      <c r="CS36" s="113"/>
      <c r="CT36" s="24">
        <f>CK36+CN36+CQ36</f>
        <v>25310.219436090225</v>
      </c>
      <c r="CU36" s="113"/>
      <c r="CV36" s="114"/>
      <c r="CW36" s="51"/>
      <c r="CX36" s="51"/>
      <c r="CY36" s="51"/>
      <c r="CZ36" s="51"/>
      <c r="DA36" s="51"/>
      <c r="DB36" s="51"/>
      <c r="DC36" s="51"/>
      <c r="DD36" s="51"/>
      <c r="DE36" s="51"/>
      <c r="DF36" s="51"/>
      <c r="DG36" s="51"/>
      <c r="DH36" s="51"/>
      <c r="DI36" s="51"/>
      <c r="DJ36" s="51"/>
      <c r="DK36" s="51"/>
      <c r="DL36" s="51"/>
      <c r="DM36" s="51"/>
      <c r="DN36" s="51"/>
      <c r="DO36" s="24">
        <v>0</v>
      </c>
      <c r="DP36" s="51"/>
      <c r="DQ36" s="51"/>
      <c r="DR36" s="51"/>
      <c r="DS36" s="51"/>
      <c r="DT36" s="51"/>
      <c r="DU36" s="51"/>
      <c r="DV36" s="51"/>
      <c r="DW36" s="51"/>
      <c r="DX36" s="51"/>
      <c r="DY36" s="51"/>
      <c r="DZ36" s="51"/>
      <c r="EA36" s="24">
        <f>IF(EA7-EB7&lt;0,0,EA7-EB7)</f>
        <v>1178.6749624060158</v>
      </c>
      <c r="EB36" s="51"/>
      <c r="EC36" s="51"/>
      <c r="ED36" s="51"/>
      <c r="EE36" s="51"/>
      <c r="EF36" s="51"/>
      <c r="EG36" s="51"/>
      <c r="EH36" s="51"/>
      <c r="EI36" s="51"/>
      <c r="EJ36" s="51"/>
      <c r="EK36" s="51"/>
      <c r="EL36" s="51"/>
      <c r="EM36" s="51"/>
      <c r="EN36" s="51"/>
      <c r="EO36" s="51"/>
      <c r="EP36" s="51"/>
      <c r="EQ36" s="51"/>
      <c r="ER36" s="51"/>
      <c r="ES36" s="24">
        <v>0</v>
      </c>
      <c r="ET36" s="51"/>
      <c r="EU36" s="51"/>
      <c r="EV36" s="24">
        <f>EV15</f>
        <v>12219.814941668938</v>
      </c>
      <c r="EW36" s="51"/>
      <c r="EX36" s="51"/>
      <c r="EY36" s="51"/>
      <c r="EZ36" s="51"/>
      <c r="FA36" s="51"/>
      <c r="FB36" s="51"/>
      <c r="FC36" s="51"/>
      <c r="FD36" s="113"/>
      <c r="FE36" s="24">
        <f>EV36</f>
        <v>12219.814941668938</v>
      </c>
      <c r="FF36" s="113"/>
      <c r="FG36" s="51"/>
      <c r="FH36" s="51"/>
      <c r="FI36" s="51"/>
      <c r="FJ36" s="51"/>
      <c r="FK36" s="24">
        <f>FK15</f>
        <v>7722.4786466202677</v>
      </c>
      <c r="FL36" s="51"/>
      <c r="FM36" s="51"/>
      <c r="FN36" s="24">
        <f>FN7</f>
        <v>1380.336165413534</v>
      </c>
      <c r="FO36" s="51"/>
      <c r="FP36" s="51"/>
      <c r="FQ36" s="24">
        <f>FQ15</f>
        <v>1497.6991459781532</v>
      </c>
      <c r="FR36" s="51"/>
      <c r="FS36" s="113"/>
      <c r="FT36" s="24">
        <f>FK36+FN36+FQ36</f>
        <v>10600.513958011954</v>
      </c>
      <c r="FU36" s="113"/>
      <c r="FV36" s="114"/>
      <c r="FW36" s="24">
        <f>FW15</f>
        <v>24987.501076461995</v>
      </c>
      <c r="FX36" s="51"/>
      <c r="FY36" s="51"/>
      <c r="FZ36" s="51"/>
      <c r="GA36" s="51"/>
      <c r="GB36" s="51"/>
      <c r="GC36" s="51"/>
      <c r="GD36" s="51"/>
      <c r="GE36" s="51"/>
      <c r="GF36" s="51"/>
      <c r="GG36" s="51"/>
      <c r="GH36" s="51"/>
      <c r="GI36" s="51"/>
      <c r="GJ36" s="51"/>
      <c r="GK36" s="113"/>
      <c r="GL36" s="24">
        <f>FW36</f>
        <v>24987.501076461995</v>
      </c>
      <c r="GM36" s="113"/>
      <c r="GN36" s="62"/>
      <c r="GO36" s="24">
        <f>Q36+CH36+CK36+CN36+CQ36</f>
        <v>31293.994097744362</v>
      </c>
      <c r="GP36" s="24">
        <f>EA36+EV36+FK36+FN36+FQ36+FW36</f>
        <v>48986.504938548904</v>
      </c>
      <c r="GQ36" s="24">
        <f>GO36+GP36</f>
        <v>80280.499036293273</v>
      </c>
      <c r="GR36" s="62"/>
    </row>
    <row r="37" spans="1:200" s="83" customFormat="1" x14ac:dyDescent="0.3">
      <c r="A37" s="80"/>
      <c r="B37" s="62"/>
      <c r="C37" s="62"/>
      <c r="D37" s="79"/>
      <c r="E37" s="62"/>
      <c r="F37" s="65"/>
      <c r="G37" s="62"/>
      <c r="H37" s="62"/>
      <c r="I37" s="62"/>
      <c r="J37" s="62"/>
      <c r="K37" s="62"/>
      <c r="L37" s="62"/>
      <c r="M37" s="62"/>
      <c r="N37" s="62"/>
      <c r="O37" s="62"/>
      <c r="P37" s="62"/>
      <c r="Q37" s="65"/>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5"/>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5"/>
      <c r="DP37" s="62"/>
      <c r="DQ37" s="62"/>
      <c r="DR37" s="62"/>
      <c r="DS37" s="62"/>
      <c r="DT37" s="62"/>
      <c r="DU37" s="62"/>
      <c r="DV37" s="62"/>
      <c r="DW37" s="62"/>
      <c r="DX37" s="62"/>
      <c r="DY37" s="62"/>
      <c r="DZ37" s="62"/>
      <c r="EA37" s="65"/>
      <c r="EB37" s="62"/>
      <c r="EC37" s="62"/>
      <c r="ED37" s="62"/>
      <c r="EE37" s="62"/>
      <c r="EF37" s="62"/>
      <c r="EG37" s="62"/>
      <c r="EH37" s="62"/>
      <c r="EI37" s="62"/>
      <c r="EJ37" s="62"/>
      <c r="EK37" s="62"/>
      <c r="EL37" s="62"/>
      <c r="EM37" s="62"/>
      <c r="EN37" s="62"/>
      <c r="EO37" s="62"/>
      <c r="EP37" s="62"/>
      <c r="EQ37" s="62"/>
      <c r="ER37" s="62"/>
      <c r="ES37" s="65"/>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5"/>
      <c r="FX37" s="62"/>
      <c r="FY37" s="62"/>
      <c r="FZ37" s="62"/>
      <c r="GA37" s="62"/>
      <c r="GB37" s="62"/>
      <c r="GC37" s="62"/>
      <c r="GD37" s="62"/>
      <c r="GE37" s="62"/>
      <c r="GF37" s="62"/>
      <c r="GG37" s="62"/>
      <c r="GH37" s="62"/>
      <c r="GI37" s="62"/>
      <c r="GJ37" s="62"/>
      <c r="GK37" s="62"/>
      <c r="GL37" s="62"/>
      <c r="GM37" s="62"/>
      <c r="GN37" s="62"/>
      <c r="GO37" s="59"/>
      <c r="GP37" s="61" t="s">
        <v>190</v>
      </c>
      <c r="GQ37" s="59"/>
      <c r="GR37" s="62"/>
    </row>
    <row r="38" spans="1:200" s="83" customFormat="1" x14ac:dyDescent="0.35">
      <c r="A38" s="80"/>
      <c r="B38" s="66"/>
      <c r="C38" s="66"/>
      <c r="D38" s="81"/>
      <c r="E38" s="66"/>
      <c r="F38" s="68"/>
      <c r="G38" s="66"/>
      <c r="H38" s="66"/>
      <c r="I38" s="66"/>
      <c r="J38" s="66"/>
      <c r="K38" s="66"/>
      <c r="L38" s="66"/>
      <c r="M38" s="66"/>
      <c r="N38" s="66"/>
      <c r="O38" s="66"/>
      <c r="P38" s="66"/>
      <c r="Q38" s="68"/>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8"/>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8"/>
      <c r="DP38" s="66"/>
      <c r="DQ38" s="66"/>
      <c r="DR38" s="66"/>
      <c r="DS38" s="66"/>
      <c r="DT38" s="66"/>
      <c r="DU38" s="66"/>
      <c r="DV38" s="66"/>
      <c r="DW38" s="66"/>
      <c r="DX38" s="66"/>
      <c r="DY38" s="66"/>
      <c r="DZ38" s="66"/>
      <c r="EA38" s="68"/>
      <c r="EB38" s="66"/>
      <c r="EC38" s="66"/>
      <c r="ED38" s="66"/>
      <c r="EE38" s="66"/>
      <c r="EF38" s="66"/>
      <c r="EG38" s="66"/>
      <c r="EH38" s="66"/>
      <c r="EI38" s="66"/>
      <c r="EJ38" s="66"/>
      <c r="EK38" s="66"/>
      <c r="EL38" s="66"/>
      <c r="EM38" s="66"/>
      <c r="EN38" s="66"/>
      <c r="EO38" s="66"/>
      <c r="EP38" s="66"/>
      <c r="EQ38" s="66"/>
      <c r="ER38" s="66"/>
      <c r="ES38" s="68"/>
      <c r="ET38" s="66"/>
      <c r="EU38" s="66"/>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8"/>
      <c r="FX38" s="66"/>
      <c r="FY38" s="66"/>
      <c r="FZ38" s="66"/>
      <c r="GA38" s="66"/>
      <c r="GB38" s="66"/>
      <c r="GC38" s="66"/>
      <c r="GD38" s="66"/>
      <c r="GE38" s="66"/>
      <c r="GF38" s="66"/>
      <c r="GG38" s="66"/>
      <c r="GH38" s="66"/>
      <c r="GI38" s="66"/>
      <c r="GJ38" s="66"/>
      <c r="GK38" s="66"/>
      <c r="GL38" s="66"/>
      <c r="GM38" s="66"/>
      <c r="GN38" s="62"/>
      <c r="GO38" s="78" t="s">
        <v>145</v>
      </c>
      <c r="GP38" s="78" t="s">
        <v>146</v>
      </c>
      <c r="GQ38" s="78" t="s">
        <v>147</v>
      </c>
      <c r="GR38" s="62"/>
    </row>
    <row r="39" spans="1:200" s="83" customFormat="1" ht="28" x14ac:dyDescent="0.35">
      <c r="A39" s="80"/>
      <c r="B39" s="76"/>
      <c r="C39" s="95"/>
      <c r="D39" s="11" t="s">
        <v>183</v>
      </c>
      <c r="E39" s="76">
        <v>1</v>
      </c>
      <c r="F39" s="76"/>
      <c r="G39" s="76"/>
      <c r="H39" s="76"/>
      <c r="I39" s="76"/>
      <c r="J39" s="76"/>
      <c r="K39" s="76"/>
      <c r="L39" s="76"/>
      <c r="M39" s="76"/>
      <c r="N39" s="76"/>
      <c r="O39" s="76"/>
      <c r="P39" s="76"/>
      <c r="Q39" s="24">
        <f>K6</f>
        <v>775849.75556390989</v>
      </c>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24">
        <f>CH6</f>
        <v>10548.967067669173</v>
      </c>
      <c r="CI39" s="76"/>
      <c r="CJ39" s="76"/>
      <c r="CK39" s="24">
        <f>0</f>
        <v>0</v>
      </c>
      <c r="CL39" s="76"/>
      <c r="CM39" s="76"/>
      <c r="CN39" s="24">
        <f>CN6</f>
        <v>15986.865714285716</v>
      </c>
      <c r="CO39" s="76"/>
      <c r="CP39" s="76"/>
      <c r="CQ39" s="24">
        <f>CQ6</f>
        <v>1293.4132330827067</v>
      </c>
      <c r="CR39" s="76"/>
      <c r="CS39" s="113"/>
      <c r="CT39" s="24">
        <f>CK39+CN39+CQ39</f>
        <v>17280.278947368421</v>
      </c>
      <c r="CU39" s="113"/>
      <c r="CV39" s="114"/>
      <c r="CW39" s="76"/>
      <c r="CX39" s="76"/>
      <c r="CY39" s="76"/>
      <c r="CZ39" s="76"/>
      <c r="DA39" s="76"/>
      <c r="DB39" s="76"/>
      <c r="DC39" s="76"/>
      <c r="DD39" s="76"/>
      <c r="DE39" s="76"/>
      <c r="DF39" s="76"/>
      <c r="DG39" s="76"/>
      <c r="DH39" s="76"/>
      <c r="DI39" s="76"/>
      <c r="DJ39" s="76"/>
      <c r="DK39" s="76"/>
      <c r="DL39" s="76"/>
      <c r="DM39" s="76"/>
      <c r="DN39" s="76"/>
      <c r="DO39" s="24">
        <v>0</v>
      </c>
      <c r="DP39" s="76"/>
      <c r="DQ39" s="76"/>
      <c r="DR39" s="76"/>
      <c r="DS39" s="76"/>
      <c r="DT39" s="76"/>
      <c r="DU39" s="76"/>
      <c r="DV39" s="76"/>
      <c r="DW39" s="76"/>
      <c r="DX39" s="76"/>
      <c r="DY39" s="76"/>
      <c r="DZ39" s="76"/>
      <c r="EA39" s="24">
        <f>EA6</f>
        <v>6658.2966165413536</v>
      </c>
      <c r="EB39" s="76"/>
      <c r="EC39" s="76"/>
      <c r="ED39" s="76"/>
      <c r="EE39" s="76"/>
      <c r="EF39" s="76"/>
      <c r="EG39" s="76"/>
      <c r="EH39" s="76"/>
      <c r="EI39" s="76"/>
      <c r="EJ39" s="76"/>
      <c r="EK39" s="76"/>
      <c r="EL39" s="76"/>
      <c r="EM39" s="76"/>
      <c r="EN39" s="76"/>
      <c r="EO39" s="76"/>
      <c r="EP39" s="76"/>
      <c r="EQ39" s="76"/>
      <c r="ER39" s="76"/>
      <c r="ES39" s="24">
        <v>0</v>
      </c>
      <c r="ET39" s="76"/>
      <c r="EU39" s="76"/>
      <c r="EV39" s="24">
        <f>EV14</f>
        <v>12219.814941668938</v>
      </c>
      <c r="EW39" s="76"/>
      <c r="EX39" s="76"/>
      <c r="EY39" s="76"/>
      <c r="EZ39" s="76"/>
      <c r="FA39" s="76"/>
      <c r="FB39" s="76"/>
      <c r="FC39" s="76"/>
      <c r="FD39" s="113"/>
      <c r="FE39" s="24">
        <f>EV39</f>
        <v>12219.814941668938</v>
      </c>
      <c r="FF39" s="113"/>
      <c r="FG39" s="76"/>
      <c r="FH39" s="76"/>
      <c r="FI39" s="76"/>
      <c r="FJ39" s="76"/>
      <c r="FK39" s="24">
        <f>FK6</f>
        <v>30477.689411764706</v>
      </c>
      <c r="FL39" s="76"/>
      <c r="FM39" s="76"/>
      <c r="FN39" s="24">
        <f>(FN6+FN14)/2</f>
        <v>10265.502556036321</v>
      </c>
      <c r="FO39" s="76"/>
      <c r="FP39" s="76"/>
      <c r="FQ39" s="24">
        <f>FQ14</f>
        <v>6134.025342601788</v>
      </c>
      <c r="FR39" s="76"/>
      <c r="FS39" s="113"/>
      <c r="FT39" s="24">
        <f>FK39+FN39+FQ39</f>
        <v>46877.217310402819</v>
      </c>
      <c r="FU39" s="113"/>
      <c r="FV39" s="114"/>
      <c r="FW39" s="24">
        <f>FW14</f>
        <v>30234.211886161549</v>
      </c>
      <c r="FX39" s="76"/>
      <c r="FY39" s="76"/>
      <c r="FZ39" s="76"/>
      <c r="GA39" s="76"/>
      <c r="GB39" s="76"/>
      <c r="GC39" s="76"/>
      <c r="GD39" s="76"/>
      <c r="GE39" s="76"/>
      <c r="GF39" s="76"/>
      <c r="GG39" s="76"/>
      <c r="GH39" s="76"/>
      <c r="GI39" s="76"/>
      <c r="GJ39" s="76"/>
      <c r="GK39" s="113"/>
      <c r="GL39" s="24">
        <f>FW39</f>
        <v>30234.211886161549</v>
      </c>
      <c r="GM39" s="113"/>
      <c r="GN39" s="62"/>
      <c r="GO39" s="24">
        <f>Q39+CH39+CK39+CN39+CQ39</f>
        <v>803679.00157894753</v>
      </c>
      <c r="GP39" s="24">
        <f>EA39+EV39+FK39+FN39+FQ39+FW39</f>
        <v>95989.540754774658</v>
      </c>
      <c r="GQ39" s="24">
        <f>GO39+GP39</f>
        <v>899668.54233372223</v>
      </c>
      <c r="GR39" s="62"/>
    </row>
    <row r="40" spans="1:200" s="83" customFormat="1" ht="28" x14ac:dyDescent="0.35">
      <c r="A40" s="80"/>
      <c r="B40" s="76"/>
      <c r="C40" s="95"/>
      <c r="D40" s="11" t="s">
        <v>184</v>
      </c>
      <c r="E40" s="76">
        <v>1</v>
      </c>
      <c r="F40" s="76"/>
      <c r="G40" s="76"/>
      <c r="H40" s="76"/>
      <c r="I40" s="76"/>
      <c r="J40" s="76"/>
      <c r="K40" s="76"/>
      <c r="L40" s="76"/>
      <c r="M40" s="76"/>
      <c r="N40" s="76"/>
      <c r="O40" s="76"/>
      <c r="P40" s="76"/>
      <c r="Q40" s="24">
        <f>H9+K9</f>
        <v>17213.162846803374</v>
      </c>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24">
        <f>CH7</f>
        <v>5983.7746616541353</v>
      </c>
      <c r="CI40" s="76"/>
      <c r="CJ40" s="76"/>
      <c r="CK40" s="24">
        <f>CK9</f>
        <v>2082.402895054282</v>
      </c>
      <c r="CL40" s="76"/>
      <c r="CM40" s="76"/>
      <c r="CN40" s="24">
        <f>CN7</f>
        <v>25310.219436090225</v>
      </c>
      <c r="CO40" s="76"/>
      <c r="CP40" s="76"/>
      <c r="CQ40" s="24">
        <f>CQ7</f>
        <v>797.95251879699265</v>
      </c>
      <c r="CR40" s="76"/>
      <c r="CS40" s="113"/>
      <c r="CT40" s="24">
        <f>CK40+CN40+CQ40</f>
        <v>28190.574849941499</v>
      </c>
      <c r="CU40" s="113"/>
      <c r="CV40" s="114"/>
      <c r="CW40" s="76"/>
      <c r="CX40" s="76"/>
      <c r="CY40" s="76"/>
      <c r="CZ40" s="76"/>
      <c r="DA40" s="76"/>
      <c r="DB40" s="76"/>
      <c r="DC40" s="76"/>
      <c r="DD40" s="76"/>
      <c r="DE40" s="76"/>
      <c r="DF40" s="76"/>
      <c r="DG40" s="76"/>
      <c r="DH40" s="76"/>
      <c r="DI40" s="76"/>
      <c r="DJ40" s="76"/>
      <c r="DK40" s="76"/>
      <c r="DL40" s="76"/>
      <c r="DM40" s="76"/>
      <c r="DN40" s="76"/>
      <c r="DO40" s="24">
        <v>0</v>
      </c>
      <c r="DP40" s="76"/>
      <c r="DQ40" s="76"/>
      <c r="DR40" s="76"/>
      <c r="DS40" s="76"/>
      <c r="DT40" s="76"/>
      <c r="DU40" s="76"/>
      <c r="DV40" s="76"/>
      <c r="DW40" s="76"/>
      <c r="DX40" s="76"/>
      <c r="DY40" s="76"/>
      <c r="DZ40" s="76"/>
      <c r="EA40" s="24">
        <f>EA7</f>
        <v>12417.810112781955</v>
      </c>
      <c r="EB40" s="76"/>
      <c r="EC40" s="76"/>
      <c r="ED40" s="76"/>
      <c r="EE40" s="76"/>
      <c r="EF40" s="76"/>
      <c r="EG40" s="76"/>
      <c r="EH40" s="76"/>
      <c r="EI40" s="76"/>
      <c r="EJ40" s="76"/>
      <c r="EK40" s="76"/>
      <c r="EL40" s="76"/>
      <c r="EM40" s="76"/>
      <c r="EN40" s="76"/>
      <c r="EO40" s="76"/>
      <c r="EP40" s="76"/>
      <c r="EQ40" s="76"/>
      <c r="ER40" s="76"/>
      <c r="ES40" s="24">
        <v>0</v>
      </c>
      <c r="ET40" s="76"/>
      <c r="EU40" s="76"/>
      <c r="EV40" s="24">
        <f>EV15</f>
        <v>12219.814941668938</v>
      </c>
      <c r="EW40" s="76"/>
      <c r="EX40" s="76"/>
      <c r="EY40" s="76"/>
      <c r="EZ40" s="76"/>
      <c r="FA40" s="76"/>
      <c r="FB40" s="76"/>
      <c r="FC40" s="76"/>
      <c r="FD40" s="113"/>
      <c r="FE40" s="24">
        <f>EV40</f>
        <v>12219.814941668938</v>
      </c>
      <c r="FF40" s="113"/>
      <c r="FG40" s="76"/>
      <c r="FH40" s="76"/>
      <c r="FI40" s="76"/>
      <c r="FJ40" s="76"/>
      <c r="FK40" s="24">
        <f>(FK7+FK15)/2</f>
        <v>61369.54579389836</v>
      </c>
      <c r="FL40" s="76"/>
      <c r="FM40" s="76"/>
      <c r="FN40" s="24">
        <f>(FN7+FN15)/2</f>
        <v>1418.7175166690313</v>
      </c>
      <c r="FO40" s="76"/>
      <c r="FP40" s="76"/>
      <c r="FQ40" s="24">
        <f>FQ15</f>
        <v>1497.6991459781532</v>
      </c>
      <c r="FR40" s="76"/>
      <c r="FS40" s="113"/>
      <c r="FT40" s="24">
        <f>FK40+FN40+FQ40</f>
        <v>64285.962456545545</v>
      </c>
      <c r="FU40" s="113"/>
      <c r="FV40" s="114"/>
      <c r="FW40" s="24">
        <f>FW15</f>
        <v>24987.501076461995</v>
      </c>
      <c r="FX40" s="76"/>
      <c r="FY40" s="76"/>
      <c r="FZ40" s="76"/>
      <c r="GA40" s="76"/>
      <c r="GB40" s="76"/>
      <c r="GC40" s="76"/>
      <c r="GD40" s="76"/>
      <c r="GE40" s="76"/>
      <c r="GF40" s="76"/>
      <c r="GG40" s="76"/>
      <c r="GH40" s="76"/>
      <c r="GI40" s="76"/>
      <c r="GJ40" s="76"/>
      <c r="GK40" s="113"/>
      <c r="GL40" s="24">
        <f>FW40</f>
        <v>24987.501076461995</v>
      </c>
      <c r="GM40" s="113"/>
      <c r="GN40" s="62"/>
      <c r="GO40" s="24">
        <f>Q40+CH40+CK40+CN40+CQ40</f>
        <v>51387.512358399006</v>
      </c>
      <c r="GP40" s="24">
        <f>EA40+EV40+FK40+FN40+FQ40+FW40</f>
        <v>113911.08858745843</v>
      </c>
      <c r="GQ40" s="24">
        <f>GO40+GP40</f>
        <v>165298.60094585744</v>
      </c>
      <c r="GR40" s="62"/>
    </row>
    <row r="41" spans="1:200" s="83" customFormat="1" x14ac:dyDescent="0.3">
      <c r="A41" s="80"/>
      <c r="B41" s="62"/>
      <c r="C41" s="62"/>
      <c r="D41" s="79"/>
      <c r="E41" s="62"/>
      <c r="F41" s="65"/>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5"/>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5"/>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59"/>
      <c r="GP41" s="61" t="s">
        <v>191</v>
      </c>
      <c r="GQ41" s="59"/>
      <c r="GR41" s="62"/>
    </row>
    <row r="42" spans="1:200" s="83" customFormat="1" x14ac:dyDescent="0.35">
      <c r="A42" s="80"/>
      <c r="B42" s="66"/>
      <c r="C42" s="66"/>
      <c r="D42" s="81"/>
      <c r="E42" s="66"/>
      <c r="F42" s="68"/>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8"/>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8"/>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2"/>
      <c r="GO42" s="78" t="s">
        <v>145</v>
      </c>
      <c r="GP42" s="78" t="s">
        <v>146</v>
      </c>
      <c r="GQ42" s="78" t="s">
        <v>147</v>
      </c>
      <c r="GR42" s="62"/>
    </row>
    <row r="43" spans="1:200" s="83" customFormat="1" ht="28" x14ac:dyDescent="0.35">
      <c r="A43" s="80"/>
      <c r="B43" s="76"/>
      <c r="C43" s="95"/>
      <c r="D43" s="11" t="s">
        <v>183</v>
      </c>
      <c r="E43" s="76">
        <v>1</v>
      </c>
      <c r="F43" s="76"/>
      <c r="G43" s="76"/>
      <c r="H43" s="76"/>
      <c r="I43" s="76"/>
      <c r="J43" s="76"/>
      <c r="K43" s="76"/>
      <c r="L43" s="76"/>
      <c r="M43" s="76"/>
      <c r="N43" s="76"/>
      <c r="O43" s="76"/>
      <c r="P43" s="76"/>
      <c r="Q43" s="24">
        <f>K6+L6</f>
        <v>924183.73958646622</v>
      </c>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24">
        <f>CH6</f>
        <v>10548.967067669173</v>
      </c>
      <c r="CI43" s="76"/>
      <c r="CJ43" s="76"/>
      <c r="CK43" s="24">
        <f>0</f>
        <v>0</v>
      </c>
      <c r="CL43" s="76"/>
      <c r="CM43" s="76"/>
      <c r="CN43" s="24">
        <f>CN6+CO6</f>
        <v>23131.9307518797</v>
      </c>
      <c r="CO43" s="76"/>
      <c r="CP43" s="76"/>
      <c r="CQ43" s="24">
        <f>CQ6+CR6</f>
        <v>2868.4567669172934</v>
      </c>
      <c r="CR43" s="76"/>
      <c r="CS43" s="113"/>
      <c r="CT43" s="24">
        <f>CK43+CN43+CQ43</f>
        <v>26000.387518796993</v>
      </c>
      <c r="CU43" s="113"/>
      <c r="CV43" s="114"/>
      <c r="CW43" s="76"/>
      <c r="CX43" s="76"/>
      <c r="CY43" s="76"/>
      <c r="CZ43" s="76"/>
      <c r="DA43" s="76"/>
      <c r="DB43" s="76"/>
      <c r="DC43" s="76"/>
      <c r="DD43" s="76"/>
      <c r="DE43" s="76"/>
      <c r="DF43" s="76"/>
      <c r="DG43" s="76"/>
      <c r="DH43" s="76"/>
      <c r="DI43" s="76"/>
      <c r="DJ43" s="76"/>
      <c r="DK43" s="76"/>
      <c r="DL43" s="76"/>
      <c r="DM43" s="76"/>
      <c r="DN43" s="76"/>
      <c r="DO43" s="24">
        <v>0</v>
      </c>
      <c r="DP43" s="76"/>
      <c r="DQ43" s="76"/>
      <c r="DR43" s="76"/>
      <c r="DS43" s="76"/>
      <c r="DT43" s="76"/>
      <c r="DU43" s="76"/>
      <c r="DV43" s="76"/>
      <c r="DW43" s="76"/>
      <c r="DX43" s="76"/>
      <c r="DY43" s="76"/>
      <c r="DZ43" s="76"/>
      <c r="EA43" s="24">
        <f>EA6+EB6</f>
        <v>16725.710639097746</v>
      </c>
      <c r="EB43" s="76"/>
      <c r="EC43" s="76"/>
      <c r="ED43" s="76"/>
      <c r="EE43" s="76"/>
      <c r="EF43" s="76"/>
      <c r="EG43" s="76"/>
      <c r="EH43" s="76"/>
      <c r="EI43" s="76"/>
      <c r="EJ43" s="76"/>
      <c r="EK43" s="76"/>
      <c r="EL43" s="76"/>
      <c r="EM43" s="76"/>
      <c r="EN43" s="76"/>
      <c r="EO43" s="76"/>
      <c r="EP43" s="76"/>
      <c r="EQ43" s="76"/>
      <c r="ER43" s="76"/>
      <c r="ES43" s="24">
        <v>0</v>
      </c>
      <c r="ET43" s="76"/>
      <c r="EU43" s="76"/>
      <c r="EV43" s="24">
        <f>EV14</f>
        <v>12219.814941668938</v>
      </c>
      <c r="EW43" s="76"/>
      <c r="EX43" s="76"/>
      <c r="EY43" s="76"/>
      <c r="EZ43" s="76"/>
      <c r="FA43" s="76"/>
      <c r="FB43" s="76"/>
      <c r="FC43" s="76"/>
      <c r="FD43" s="113"/>
      <c r="FE43" s="24">
        <f>EV43</f>
        <v>12219.814941668938</v>
      </c>
      <c r="FF43" s="113"/>
      <c r="FG43" s="76"/>
      <c r="FH43" s="76"/>
      <c r="FI43" s="76"/>
      <c r="FJ43" s="76"/>
      <c r="FK43" s="24">
        <f>FK6+FL6</f>
        <v>69382.223529411771</v>
      </c>
      <c r="FL43" s="76"/>
      <c r="FM43" s="76"/>
      <c r="FN43" s="24">
        <f>FN14</f>
        <v>18971.607706057603</v>
      </c>
      <c r="FO43" s="76"/>
      <c r="FP43" s="76"/>
      <c r="FQ43" s="24">
        <f>FQ14</f>
        <v>6134.025342601788</v>
      </c>
      <c r="FR43" s="76"/>
      <c r="FS43" s="113"/>
      <c r="FT43" s="24">
        <f>FK43+FN43+FQ43</f>
        <v>94487.856578071165</v>
      </c>
      <c r="FU43" s="113"/>
      <c r="FV43" s="114"/>
      <c r="FW43" s="24">
        <f>FW14</f>
        <v>30234.211886161549</v>
      </c>
      <c r="FX43" s="76"/>
      <c r="FY43" s="76"/>
      <c r="FZ43" s="76"/>
      <c r="GA43" s="76"/>
      <c r="GB43" s="76"/>
      <c r="GC43" s="76"/>
      <c r="GD43" s="76"/>
      <c r="GE43" s="76"/>
      <c r="GF43" s="76"/>
      <c r="GG43" s="76"/>
      <c r="GH43" s="76"/>
      <c r="GI43" s="76"/>
      <c r="GJ43" s="76"/>
      <c r="GK43" s="113"/>
      <c r="GL43" s="24">
        <f>FW43</f>
        <v>30234.211886161549</v>
      </c>
      <c r="GM43" s="113"/>
      <c r="GN43" s="62"/>
      <c r="GO43" s="24">
        <f>Q43+CH43+CK43+CN43+CQ43</f>
        <v>960733.09417293232</v>
      </c>
      <c r="GP43" s="24">
        <f>EA43+EV43+FK43+FN43+FQ43+FW43</f>
        <v>153667.59404499939</v>
      </c>
      <c r="GQ43" s="24">
        <f>GO43+GP43</f>
        <v>1114400.6882179317</v>
      </c>
      <c r="GR43" s="62"/>
    </row>
    <row r="44" spans="1:200" s="83" customFormat="1" ht="28" x14ac:dyDescent="0.35">
      <c r="A44" s="80"/>
      <c r="B44" s="76"/>
      <c r="C44" s="95"/>
      <c r="D44" s="11" t="s">
        <v>184</v>
      </c>
      <c r="E44" s="76">
        <v>1</v>
      </c>
      <c r="F44" s="76"/>
      <c r="G44" s="76"/>
      <c r="H44" s="76"/>
      <c r="I44" s="76"/>
      <c r="J44" s="76"/>
      <c r="K44" s="76"/>
      <c r="L44" s="76"/>
      <c r="M44" s="76"/>
      <c r="N44" s="76"/>
      <c r="O44" s="76"/>
      <c r="P44" s="76"/>
      <c r="Q44" s="24">
        <f>K7</f>
        <v>31141.009736842108</v>
      </c>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24">
        <f>CH7</f>
        <v>5983.7746616541353</v>
      </c>
      <c r="CI44" s="76"/>
      <c r="CJ44" s="76"/>
      <c r="CK44" s="24">
        <f>CK7</f>
        <v>3489.086503759399</v>
      </c>
      <c r="CL44" s="76"/>
      <c r="CM44" s="76"/>
      <c r="CN44" s="24">
        <f>CN7</f>
        <v>25310.219436090225</v>
      </c>
      <c r="CO44" s="76"/>
      <c r="CP44" s="76"/>
      <c r="CQ44" s="24">
        <f>CQ7+CR7</f>
        <v>2588.5649248120303</v>
      </c>
      <c r="CR44" s="76"/>
      <c r="CS44" s="113"/>
      <c r="CT44" s="24">
        <f>CK44+CN44+CQ44</f>
        <v>31387.870864661654</v>
      </c>
      <c r="CU44" s="113"/>
      <c r="CV44" s="114"/>
      <c r="CW44" s="76"/>
      <c r="CX44" s="76"/>
      <c r="CY44" s="76"/>
      <c r="CZ44" s="76"/>
      <c r="DA44" s="76"/>
      <c r="DB44" s="76"/>
      <c r="DC44" s="76"/>
      <c r="DD44" s="76"/>
      <c r="DE44" s="76"/>
      <c r="DF44" s="76"/>
      <c r="DG44" s="76"/>
      <c r="DH44" s="76"/>
      <c r="DI44" s="76"/>
      <c r="DJ44" s="76"/>
      <c r="DK44" s="76"/>
      <c r="DL44" s="76"/>
      <c r="DM44" s="76"/>
      <c r="DN44" s="76"/>
      <c r="DO44" s="24">
        <v>0</v>
      </c>
      <c r="DP44" s="76"/>
      <c r="DQ44" s="76"/>
      <c r="DR44" s="76"/>
      <c r="DS44" s="76"/>
      <c r="DT44" s="76"/>
      <c r="DU44" s="76"/>
      <c r="DV44" s="76"/>
      <c r="DW44" s="76"/>
      <c r="DX44" s="76"/>
      <c r="DY44" s="76"/>
      <c r="DZ44" s="76"/>
      <c r="EA44" s="24">
        <f>EA7+EB7</f>
        <v>23656.945263157897</v>
      </c>
      <c r="EB44" s="76"/>
      <c r="EC44" s="76"/>
      <c r="ED44" s="76"/>
      <c r="EE44" s="76"/>
      <c r="EF44" s="76"/>
      <c r="EG44" s="76"/>
      <c r="EH44" s="76"/>
      <c r="EI44" s="76"/>
      <c r="EJ44" s="76"/>
      <c r="EK44" s="76"/>
      <c r="EL44" s="76"/>
      <c r="EM44" s="76"/>
      <c r="EN44" s="76"/>
      <c r="EO44" s="76"/>
      <c r="EP44" s="76"/>
      <c r="EQ44" s="76"/>
      <c r="ER44" s="76"/>
      <c r="ES44" s="24">
        <v>0</v>
      </c>
      <c r="ET44" s="76"/>
      <c r="EU44" s="76"/>
      <c r="EV44" s="24">
        <f>EV15</f>
        <v>12219.814941668938</v>
      </c>
      <c r="EW44" s="76"/>
      <c r="EX44" s="76"/>
      <c r="EY44" s="76"/>
      <c r="EZ44" s="76"/>
      <c r="FA44" s="76"/>
      <c r="FB44" s="76"/>
      <c r="FC44" s="76"/>
      <c r="FD44" s="113"/>
      <c r="FE44" s="24">
        <f>EV44</f>
        <v>12219.814941668938</v>
      </c>
      <c r="FF44" s="113"/>
      <c r="FG44" s="76"/>
      <c r="FH44" s="76"/>
      <c r="FI44" s="76"/>
      <c r="FJ44" s="76"/>
      <c r="FK44" s="24">
        <f>FK7</f>
        <v>115016.61294117646</v>
      </c>
      <c r="FL44" s="76"/>
      <c r="FM44" s="76"/>
      <c r="FN44" s="24">
        <f>FN15</f>
        <v>1457.0988679245286</v>
      </c>
      <c r="FO44" s="76"/>
      <c r="FP44" s="76"/>
      <c r="FQ44" s="24">
        <f>FQ15</f>
        <v>1497.6991459781532</v>
      </c>
      <c r="FR44" s="76"/>
      <c r="FS44" s="113"/>
      <c r="FT44" s="24">
        <f>FK44+FN44+FQ44</f>
        <v>117971.41095507915</v>
      </c>
      <c r="FU44" s="113"/>
      <c r="FV44" s="114"/>
      <c r="FW44" s="24">
        <f>FW15</f>
        <v>24987.501076461995</v>
      </c>
      <c r="FX44" s="76"/>
      <c r="FY44" s="76"/>
      <c r="FZ44" s="76"/>
      <c r="GA44" s="76"/>
      <c r="GB44" s="76"/>
      <c r="GC44" s="76"/>
      <c r="GD44" s="76"/>
      <c r="GE44" s="76"/>
      <c r="GF44" s="76"/>
      <c r="GG44" s="76"/>
      <c r="GH44" s="76"/>
      <c r="GI44" s="76"/>
      <c r="GJ44" s="76"/>
      <c r="GK44" s="113"/>
      <c r="GL44" s="24">
        <f>FW44</f>
        <v>24987.501076461995</v>
      </c>
      <c r="GM44" s="113"/>
      <c r="GN44" s="62"/>
      <c r="GO44" s="24">
        <f>Q44+CH44+CK44+CN44+CQ44</f>
        <v>68512.655263157896</v>
      </c>
      <c r="GP44" s="24">
        <f>EA44+EV44+FK44+FN44+FQ44+FW44</f>
        <v>178835.67223636794</v>
      </c>
      <c r="GQ44" s="24">
        <f>GO44+GP44</f>
        <v>247348.32749952585</v>
      </c>
      <c r="GR44" s="62"/>
    </row>
    <row r="45" spans="1:200" s="83" customFormat="1" x14ac:dyDescent="0.35">
      <c r="A45" s="80"/>
      <c r="B45" s="66"/>
      <c r="C45" s="66"/>
      <c r="D45" s="81"/>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6"/>
      <c r="GA45" s="66"/>
      <c r="GB45" s="66"/>
      <c r="GC45" s="66"/>
      <c r="GD45" s="66"/>
      <c r="GE45" s="66"/>
      <c r="GF45" s="66"/>
      <c r="GG45" s="66"/>
      <c r="GH45" s="66"/>
      <c r="GI45" s="66"/>
      <c r="GJ45" s="66"/>
      <c r="GK45" s="66"/>
      <c r="GL45" s="66"/>
      <c r="GM45" s="66"/>
      <c r="GN45" s="62"/>
      <c r="GO45" s="66"/>
      <c r="GP45" s="66"/>
      <c r="GQ45" s="66"/>
      <c r="GR45" s="62"/>
    </row>
    <row r="46" spans="1:200" s="83" customFormat="1" x14ac:dyDescent="0.35">
      <c r="A46" s="80"/>
      <c r="B46" s="62"/>
      <c r="C46" s="62"/>
      <c r="D46" s="79"/>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1" t="s">
        <v>189</v>
      </c>
      <c r="GQ46" s="62"/>
      <c r="GR46" s="62"/>
    </row>
    <row r="47" spans="1:200" x14ac:dyDescent="0.3">
      <c r="A47" s="80"/>
      <c r="B47" s="54" t="s">
        <v>142</v>
      </c>
      <c r="C47" s="54"/>
      <c r="D47" s="55"/>
      <c r="E47" s="66"/>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9"/>
      <c r="GO47" s="78" t="s">
        <v>145</v>
      </c>
      <c r="GP47" s="78" t="s">
        <v>146</v>
      </c>
      <c r="GQ47" s="78" t="s">
        <v>147</v>
      </c>
      <c r="GR47" s="59"/>
    </row>
    <row r="48" spans="1:200" s="83" customFormat="1" ht="28" x14ac:dyDescent="0.35">
      <c r="A48" s="80"/>
      <c r="B48" s="51"/>
      <c r="C48" s="95"/>
      <c r="D48" s="11" t="s">
        <v>185</v>
      </c>
      <c r="E48" s="51">
        <v>2</v>
      </c>
      <c r="F48" s="51"/>
      <c r="G48" s="51"/>
      <c r="H48" s="51"/>
      <c r="I48" s="51"/>
      <c r="J48" s="51"/>
      <c r="K48" s="51"/>
      <c r="L48" s="51"/>
      <c r="M48" s="51"/>
      <c r="N48" s="51"/>
      <c r="O48" s="51"/>
      <c r="P48" s="51"/>
      <c r="Q48" s="24">
        <f>H17+K17+N17</f>
        <v>164.22803213367612</v>
      </c>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24">
        <f>CH17</f>
        <v>577.86512892030862</v>
      </c>
      <c r="CI48" s="51"/>
      <c r="CJ48" s="51"/>
      <c r="CK48" s="24">
        <f>CK28</f>
        <v>379.80751173708916</v>
      </c>
      <c r="CL48" s="51"/>
      <c r="CM48" s="51"/>
      <c r="CN48" s="24">
        <f>CN30</f>
        <v>258.80281690140845</v>
      </c>
      <c r="CO48" s="51"/>
      <c r="CP48" s="51"/>
      <c r="CQ48" s="51"/>
      <c r="CR48" s="51"/>
      <c r="CS48" s="113"/>
      <c r="CT48" s="24">
        <f>CK48+CN48</f>
        <v>638.61032863849755</v>
      </c>
      <c r="CU48" s="113"/>
      <c r="CV48" s="114"/>
      <c r="CW48" s="51"/>
      <c r="CX48" s="51"/>
      <c r="CY48" s="51"/>
      <c r="CZ48" s="51"/>
      <c r="DA48" s="51"/>
      <c r="DB48" s="51"/>
      <c r="DC48" s="51"/>
      <c r="DD48" s="51"/>
      <c r="DE48" s="51"/>
      <c r="DF48" s="51"/>
      <c r="DG48" s="51"/>
      <c r="DH48" s="51"/>
      <c r="DI48" s="51"/>
      <c r="DJ48" s="51"/>
      <c r="DK48" s="51"/>
      <c r="DL48" s="51"/>
      <c r="DM48" s="51"/>
      <c r="DN48" s="51"/>
      <c r="DO48" s="24">
        <f>DO17</f>
        <v>2647.8694249357332</v>
      </c>
      <c r="DP48" s="51"/>
      <c r="DQ48" s="51"/>
      <c r="DR48" s="51"/>
      <c r="DS48" s="51"/>
      <c r="DT48" s="51"/>
      <c r="DU48" s="51"/>
      <c r="DV48" s="51"/>
      <c r="DW48" s="51"/>
      <c r="DX48" s="51"/>
      <c r="DY48" s="51"/>
      <c r="DZ48" s="51"/>
      <c r="EA48" s="24">
        <f>0</f>
        <v>0</v>
      </c>
      <c r="EB48" s="51"/>
      <c r="EC48" s="51"/>
      <c r="ED48" s="51"/>
      <c r="EE48" s="51"/>
      <c r="EF48" s="51"/>
      <c r="EG48" s="51"/>
      <c r="EH48" s="51"/>
      <c r="EI48" s="51"/>
      <c r="EJ48" s="51"/>
      <c r="EK48" s="51"/>
      <c r="EL48" s="51"/>
      <c r="EM48" s="51"/>
      <c r="EN48" s="51"/>
      <c r="EO48" s="51"/>
      <c r="EP48" s="51"/>
      <c r="EQ48" s="51"/>
      <c r="ER48" s="51"/>
      <c r="ES48" s="24">
        <f>0</f>
        <v>0</v>
      </c>
      <c r="ET48" s="51"/>
      <c r="EU48" s="51"/>
      <c r="EV48" s="24">
        <f>EV21</f>
        <v>0</v>
      </c>
      <c r="EW48" s="51"/>
      <c r="EX48" s="51"/>
      <c r="EY48" s="51"/>
      <c r="EZ48" s="51"/>
      <c r="FA48" s="51"/>
      <c r="FB48" s="24">
        <f>FB17</f>
        <v>365.05777036334916</v>
      </c>
      <c r="FC48" s="51"/>
      <c r="FD48" s="113"/>
      <c r="FE48" s="24">
        <f>EV48+FB48</f>
        <v>365.05777036334916</v>
      </c>
      <c r="FF48" s="113"/>
      <c r="FG48" s="114"/>
      <c r="FH48" s="51"/>
      <c r="FI48" s="51"/>
      <c r="FJ48" s="51"/>
      <c r="FK48" s="24">
        <f>0</f>
        <v>0</v>
      </c>
      <c r="FL48" s="51"/>
      <c r="FM48" s="51"/>
      <c r="FN48" s="24">
        <f>0</f>
        <v>0</v>
      </c>
      <c r="FO48" s="51"/>
      <c r="FP48" s="51"/>
      <c r="FQ48" s="24">
        <f>0</f>
        <v>0</v>
      </c>
      <c r="FR48" s="51"/>
      <c r="FS48" s="113"/>
      <c r="FT48" s="24">
        <f>FK48+FN48+FQ48</f>
        <v>0</v>
      </c>
      <c r="FU48" s="113"/>
      <c r="FV48" s="114"/>
      <c r="FW48" s="24">
        <f>0</f>
        <v>0</v>
      </c>
      <c r="FX48" s="51"/>
      <c r="FY48" s="51"/>
      <c r="FZ48" s="24">
        <f>FZ21</f>
        <v>10980.944000000001</v>
      </c>
      <c r="GA48" s="51"/>
      <c r="GB48" s="51"/>
      <c r="GC48" s="114"/>
      <c r="GD48" s="51"/>
      <c r="GE48" s="51"/>
      <c r="GF48" s="51"/>
      <c r="GG48" s="51"/>
      <c r="GH48" s="51"/>
      <c r="GI48" s="51"/>
      <c r="GJ48" s="51"/>
      <c r="GK48" s="113"/>
      <c r="GL48" s="24">
        <f>FW48+FZ48</f>
        <v>10980.944000000001</v>
      </c>
      <c r="GM48" s="113"/>
      <c r="GN48" s="62"/>
      <c r="GO48" s="24">
        <f>Q48+CH48+CK48+CN48</f>
        <v>1380.7034896924824</v>
      </c>
      <c r="GP48" s="24">
        <f>DO48+EA48+ES48+EV48+FB48+FK48+FN48+FQ48+FW48+FZ48</f>
        <v>13993.871195299083</v>
      </c>
      <c r="GQ48" s="24">
        <f>GO48+GP48</f>
        <v>15374.574684991567</v>
      </c>
      <c r="GR48" s="62"/>
    </row>
    <row r="49" spans="1:200" s="83" customFormat="1" ht="28" x14ac:dyDescent="0.35">
      <c r="A49" s="80"/>
      <c r="B49" s="51"/>
      <c r="C49" s="95"/>
      <c r="D49" s="11" t="s">
        <v>186</v>
      </c>
      <c r="E49" s="51">
        <v>2</v>
      </c>
      <c r="F49" s="51"/>
      <c r="G49" s="51"/>
      <c r="H49" s="51"/>
      <c r="I49" s="51"/>
      <c r="J49" s="51"/>
      <c r="K49" s="51"/>
      <c r="L49" s="51"/>
      <c r="M49" s="51"/>
      <c r="N49" s="51"/>
      <c r="O49" s="51"/>
      <c r="P49" s="51"/>
      <c r="Q49" s="24">
        <f>H17+K17+N17</f>
        <v>164.22803213367612</v>
      </c>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24">
        <f>CH17</f>
        <v>577.86512892030862</v>
      </c>
      <c r="CI49" s="51"/>
      <c r="CJ49" s="51"/>
      <c r="CK49" s="24">
        <f>CK28</f>
        <v>379.80751173708916</v>
      </c>
      <c r="CL49" s="51"/>
      <c r="CM49" s="51"/>
      <c r="CN49" s="24">
        <f>CN30</f>
        <v>258.80281690140845</v>
      </c>
      <c r="CO49" s="51"/>
      <c r="CP49" s="51"/>
      <c r="CQ49" s="51"/>
      <c r="CR49" s="51"/>
      <c r="CS49" s="113"/>
      <c r="CT49" s="24">
        <f>CK49+CN49</f>
        <v>638.61032863849755</v>
      </c>
      <c r="CU49" s="113"/>
      <c r="CV49" s="114"/>
      <c r="CW49" s="51"/>
      <c r="CX49" s="51"/>
      <c r="CY49" s="51"/>
      <c r="CZ49" s="51"/>
      <c r="DA49" s="51"/>
      <c r="DB49" s="51"/>
      <c r="DC49" s="51"/>
      <c r="DD49" s="51"/>
      <c r="DE49" s="51"/>
      <c r="DF49" s="51"/>
      <c r="DG49" s="51"/>
      <c r="DH49" s="51"/>
      <c r="DI49" s="51"/>
      <c r="DJ49" s="51"/>
      <c r="DK49" s="51"/>
      <c r="DL49" s="51"/>
      <c r="DM49" s="51"/>
      <c r="DN49" s="51"/>
      <c r="DO49" s="24">
        <f>DO17</f>
        <v>2647.8694249357332</v>
      </c>
      <c r="DP49" s="51"/>
      <c r="DQ49" s="51"/>
      <c r="DR49" s="51"/>
      <c r="DS49" s="51"/>
      <c r="DT49" s="51"/>
      <c r="DU49" s="51"/>
      <c r="DV49" s="51"/>
      <c r="DW49" s="51"/>
      <c r="DX49" s="51"/>
      <c r="DY49" s="51"/>
      <c r="DZ49" s="51"/>
      <c r="EA49" s="24">
        <f>0</f>
        <v>0</v>
      </c>
      <c r="EB49" s="51"/>
      <c r="EC49" s="51"/>
      <c r="ED49" s="51"/>
      <c r="EE49" s="51"/>
      <c r="EF49" s="51"/>
      <c r="EG49" s="51"/>
      <c r="EH49" s="51"/>
      <c r="EI49" s="51"/>
      <c r="EJ49" s="51"/>
      <c r="EK49" s="51"/>
      <c r="EL49" s="51"/>
      <c r="EM49" s="51"/>
      <c r="EN49" s="51"/>
      <c r="EO49" s="51"/>
      <c r="EP49" s="51"/>
      <c r="EQ49" s="51"/>
      <c r="ER49" s="51"/>
      <c r="ES49" s="24">
        <f>EM17+ED17</f>
        <v>1991.8488709511573</v>
      </c>
      <c r="ET49" s="51"/>
      <c r="EU49" s="51"/>
      <c r="EV49" s="24">
        <f>EV19</f>
        <v>8235.7080000000005</v>
      </c>
      <c r="EW49" s="51"/>
      <c r="EX49" s="51"/>
      <c r="EY49" s="51"/>
      <c r="EZ49" s="51"/>
      <c r="FA49" s="51"/>
      <c r="FB49" s="24">
        <f>0</f>
        <v>0</v>
      </c>
      <c r="FC49" s="51"/>
      <c r="FD49" s="113"/>
      <c r="FE49" s="24">
        <f>EV49+FB49</f>
        <v>8235.7080000000005</v>
      </c>
      <c r="FF49" s="113"/>
      <c r="FG49" s="114"/>
      <c r="FH49" s="51"/>
      <c r="FI49" s="51"/>
      <c r="FJ49" s="51"/>
      <c r="FK49" s="24">
        <f>0</f>
        <v>0</v>
      </c>
      <c r="FL49" s="51"/>
      <c r="FM49" s="51"/>
      <c r="FN49" s="24">
        <f>0</f>
        <v>0</v>
      </c>
      <c r="FO49" s="51"/>
      <c r="FP49" s="51"/>
      <c r="FQ49" s="24">
        <f>0</f>
        <v>0</v>
      </c>
      <c r="FR49" s="51"/>
      <c r="FS49" s="113"/>
      <c r="FT49" s="24">
        <f>FK49+FN49+FQ49</f>
        <v>0</v>
      </c>
      <c r="FU49" s="113"/>
      <c r="FV49" s="114"/>
      <c r="FW49" s="24">
        <f>0</f>
        <v>0</v>
      </c>
      <c r="FX49" s="51"/>
      <c r="FY49" s="51"/>
      <c r="FZ49" s="24">
        <f>FZ19</f>
        <v>20987.772000000001</v>
      </c>
      <c r="GA49" s="51"/>
      <c r="GB49" s="51"/>
      <c r="GC49" s="114"/>
      <c r="GD49" s="51"/>
      <c r="GE49" s="51"/>
      <c r="GF49" s="51"/>
      <c r="GG49" s="51"/>
      <c r="GH49" s="51"/>
      <c r="GI49" s="51"/>
      <c r="GJ49" s="51"/>
      <c r="GK49" s="113"/>
      <c r="GL49" s="24">
        <f>FW49+FZ49</f>
        <v>20987.772000000001</v>
      </c>
      <c r="GM49" s="113"/>
      <c r="GN49" s="62"/>
      <c r="GO49" s="24">
        <f>Q49+CH49+CK49+CN49</f>
        <v>1380.7034896924824</v>
      </c>
      <c r="GP49" s="24">
        <f>DO49+EA49+ES49+EV49+FB49+FK49+FN49+FQ49+FW49+FZ49</f>
        <v>33863.19829588689</v>
      </c>
      <c r="GQ49" s="24">
        <f>GO49+GP49</f>
        <v>35243.901785579372</v>
      </c>
      <c r="GR49" s="62"/>
    </row>
    <row r="50" spans="1:200" s="83" customFormat="1" x14ac:dyDescent="0.3">
      <c r="A50" s="80"/>
      <c r="B50" s="62"/>
      <c r="C50" s="62"/>
      <c r="D50" s="79"/>
      <c r="E50" s="62"/>
      <c r="F50" s="65"/>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5"/>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5"/>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5"/>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59"/>
      <c r="GP50" s="61" t="s">
        <v>190</v>
      </c>
      <c r="GQ50" s="59"/>
      <c r="GR50" s="62"/>
    </row>
    <row r="51" spans="1:200" s="83" customFormat="1" x14ac:dyDescent="0.35">
      <c r="A51" s="80"/>
      <c r="B51" s="66"/>
      <c r="C51" s="66"/>
      <c r="D51" s="81"/>
      <c r="E51" s="66"/>
      <c r="F51" s="68"/>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8"/>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8"/>
      <c r="DP51" s="66"/>
      <c r="DQ51" s="66"/>
      <c r="DR51" s="66"/>
      <c r="DS51" s="66"/>
      <c r="DT51" s="66"/>
      <c r="DU51" s="66"/>
      <c r="DV51" s="66"/>
      <c r="DW51" s="66"/>
      <c r="DX51" s="66"/>
      <c r="DY51" s="66"/>
      <c r="DZ51" s="66"/>
      <c r="EA51" s="68"/>
      <c r="EB51" s="66"/>
      <c r="EC51" s="66"/>
      <c r="ED51" s="66"/>
      <c r="EE51" s="66"/>
      <c r="EF51" s="66"/>
      <c r="EG51" s="66"/>
      <c r="EH51" s="66"/>
      <c r="EI51" s="66"/>
      <c r="EJ51" s="66"/>
      <c r="EK51" s="66"/>
      <c r="EL51" s="66"/>
      <c r="EM51" s="66"/>
      <c r="EN51" s="66"/>
      <c r="EO51" s="66"/>
      <c r="EP51" s="66"/>
      <c r="EQ51" s="66"/>
      <c r="ER51" s="66"/>
      <c r="ES51" s="68"/>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6"/>
      <c r="GA51" s="66"/>
      <c r="GB51" s="66"/>
      <c r="GC51" s="66"/>
      <c r="GD51" s="66"/>
      <c r="GE51" s="66"/>
      <c r="GF51" s="66"/>
      <c r="GG51" s="66"/>
      <c r="GH51" s="66"/>
      <c r="GI51" s="66"/>
      <c r="GJ51" s="66"/>
      <c r="GK51" s="66"/>
      <c r="GL51" s="66"/>
      <c r="GM51" s="66"/>
      <c r="GN51" s="62"/>
      <c r="GO51" s="78" t="s">
        <v>145</v>
      </c>
      <c r="GP51" s="78" t="s">
        <v>146</v>
      </c>
      <c r="GQ51" s="78" t="s">
        <v>147</v>
      </c>
      <c r="GR51" s="62"/>
    </row>
    <row r="52" spans="1:200" s="83" customFormat="1" ht="28" x14ac:dyDescent="0.35">
      <c r="A52" s="80"/>
      <c r="B52" s="76"/>
      <c r="C52" s="95"/>
      <c r="D52" s="11" t="s">
        <v>185</v>
      </c>
      <c r="E52" s="76">
        <v>2</v>
      </c>
      <c r="F52" s="76"/>
      <c r="G52" s="76"/>
      <c r="H52" s="76"/>
      <c r="I52" s="76"/>
      <c r="J52" s="76"/>
      <c r="K52" s="76"/>
      <c r="L52" s="76"/>
      <c r="M52" s="76"/>
      <c r="N52" s="76"/>
      <c r="O52" s="76"/>
      <c r="P52" s="76"/>
      <c r="Q52" s="24">
        <f>H17+K17+N17</f>
        <v>164.22803213367612</v>
      </c>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24">
        <f>CH11</f>
        <v>2318.0938303341904</v>
      </c>
      <c r="CI52" s="76"/>
      <c r="CJ52" s="76"/>
      <c r="CK52" s="24">
        <f>CK24</f>
        <v>1444.0078651685394</v>
      </c>
      <c r="CL52" s="76"/>
      <c r="CM52" s="76"/>
      <c r="CN52" s="24">
        <f>(CN30+CN28)/2</f>
        <v>401.54694835680755</v>
      </c>
      <c r="CO52" s="76"/>
      <c r="CP52" s="76"/>
      <c r="CQ52" s="76"/>
      <c r="CR52" s="76"/>
      <c r="CS52" s="113"/>
      <c r="CT52" s="24">
        <f>CK52+CN52</f>
        <v>1845.5548135253471</v>
      </c>
      <c r="CU52" s="113"/>
      <c r="CV52" s="114"/>
      <c r="CW52" s="76"/>
      <c r="CX52" s="76"/>
      <c r="CY52" s="76"/>
      <c r="CZ52" s="76"/>
      <c r="DA52" s="76"/>
      <c r="DB52" s="76"/>
      <c r="DC52" s="76"/>
      <c r="DD52" s="76"/>
      <c r="DE52" s="76"/>
      <c r="DF52" s="76"/>
      <c r="DG52" s="76"/>
      <c r="DH52" s="76"/>
      <c r="DI52" s="76"/>
      <c r="DJ52" s="76"/>
      <c r="DK52" s="76"/>
      <c r="DL52" s="76"/>
      <c r="DM52" s="76"/>
      <c r="DN52" s="76"/>
      <c r="DO52" s="24">
        <f>DO17</f>
        <v>2647.8694249357332</v>
      </c>
      <c r="DP52" s="76"/>
      <c r="DQ52" s="76"/>
      <c r="DR52" s="76"/>
      <c r="DS52" s="76"/>
      <c r="DT52" s="76"/>
      <c r="DU52" s="76"/>
      <c r="DV52" s="76"/>
      <c r="DW52" s="76"/>
      <c r="DX52" s="76"/>
      <c r="DY52" s="76"/>
      <c r="DZ52" s="76"/>
      <c r="EA52" s="24">
        <f>0</f>
        <v>0</v>
      </c>
      <c r="EB52" s="76"/>
      <c r="EC52" s="76"/>
      <c r="ED52" s="76"/>
      <c r="EE52" s="76"/>
      <c r="EF52" s="76"/>
      <c r="EG52" s="76"/>
      <c r="EH52" s="76"/>
      <c r="EI52" s="76"/>
      <c r="EJ52" s="76"/>
      <c r="EK52" s="76"/>
      <c r="EL52" s="76"/>
      <c r="EM52" s="76"/>
      <c r="EN52" s="76"/>
      <c r="EO52" s="76"/>
      <c r="EP52" s="76"/>
      <c r="EQ52" s="76"/>
      <c r="ER52" s="76"/>
      <c r="ES52" s="24">
        <f>EM17</f>
        <v>674.74361953727521</v>
      </c>
      <c r="ET52" s="76"/>
      <c r="EU52" s="76"/>
      <c r="EV52" s="24">
        <f>EV21</f>
        <v>0</v>
      </c>
      <c r="EW52" s="76"/>
      <c r="EX52" s="76"/>
      <c r="EY52" s="76"/>
      <c r="EZ52" s="76"/>
      <c r="FA52" s="76"/>
      <c r="FB52" s="24">
        <f>FB17</f>
        <v>365.05777036334916</v>
      </c>
      <c r="FC52" s="76"/>
      <c r="FD52" s="113"/>
      <c r="FE52" s="24">
        <f>EV52+FB52</f>
        <v>365.05777036334916</v>
      </c>
      <c r="FF52" s="113"/>
      <c r="FG52" s="114"/>
      <c r="FH52" s="76"/>
      <c r="FI52" s="76"/>
      <c r="FJ52" s="76"/>
      <c r="FK52" s="24">
        <f>FK28</f>
        <v>2226.0044444444443</v>
      </c>
      <c r="FL52" s="76"/>
      <c r="FM52" s="76"/>
      <c r="FN52" s="24">
        <f>FN28</f>
        <v>14944.079812206572</v>
      </c>
      <c r="FO52" s="76"/>
      <c r="FP52" s="76"/>
      <c r="FQ52" s="24">
        <f>FQ28</f>
        <v>759.61502347417832</v>
      </c>
      <c r="FR52" s="76"/>
      <c r="FS52" s="113"/>
      <c r="FT52" s="24">
        <f>FK52+FN52+FQ52</f>
        <v>17929.699280125194</v>
      </c>
      <c r="FU52" s="113"/>
      <c r="FV52" s="114"/>
      <c r="FW52" s="24">
        <f>0</f>
        <v>0</v>
      </c>
      <c r="FX52" s="76"/>
      <c r="FY52" s="76"/>
      <c r="FZ52" s="24">
        <f>FZ21+GF21</f>
        <v>14788.852000000003</v>
      </c>
      <c r="GA52" s="76"/>
      <c r="GB52" s="76"/>
      <c r="GC52" s="114"/>
      <c r="GD52" s="76"/>
      <c r="GE52" s="76"/>
      <c r="GF52" s="76"/>
      <c r="GG52" s="76"/>
      <c r="GH52" s="76"/>
      <c r="GI52" s="76"/>
      <c r="GJ52" s="76"/>
      <c r="GK52" s="113"/>
      <c r="GL52" s="24">
        <f>FW52+FZ52</f>
        <v>14788.852000000003</v>
      </c>
      <c r="GM52" s="113"/>
      <c r="GN52" s="62"/>
      <c r="GO52" s="24">
        <f>Q52+CH52+CK52+CN52</f>
        <v>4327.8766759932132</v>
      </c>
      <c r="GP52" s="24">
        <f>DO52+EA52+ES52+EV52+FB52+FK52+FN52+FQ52+FW52+FZ52</f>
        <v>36406.222094961558</v>
      </c>
      <c r="GQ52" s="24">
        <f>GO52+GP52</f>
        <v>40734.09877095477</v>
      </c>
      <c r="GR52" s="62"/>
    </row>
    <row r="53" spans="1:200" s="83" customFormat="1" ht="28" x14ac:dyDescent="0.35">
      <c r="A53" s="80"/>
      <c r="B53" s="76"/>
      <c r="C53" s="95"/>
      <c r="D53" s="11" t="s">
        <v>186</v>
      </c>
      <c r="E53" s="76">
        <v>2</v>
      </c>
      <c r="F53" s="76"/>
      <c r="G53" s="76"/>
      <c r="H53" s="76"/>
      <c r="I53" s="76"/>
      <c r="J53" s="76"/>
      <c r="K53" s="76"/>
      <c r="L53" s="76"/>
      <c r="M53" s="76"/>
      <c r="N53" s="76"/>
      <c r="O53" s="76"/>
      <c r="P53" s="76"/>
      <c r="Q53" s="24">
        <f>H17+K17+N17</f>
        <v>164.22803213367612</v>
      </c>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24">
        <f>CH11</f>
        <v>2318.0938303341904</v>
      </c>
      <c r="CI53" s="76"/>
      <c r="CJ53" s="76"/>
      <c r="CK53" s="24">
        <f>CK24</f>
        <v>1444.0078651685394</v>
      </c>
      <c r="CL53" s="76"/>
      <c r="CM53" s="76"/>
      <c r="CN53" s="24">
        <f>(CN30+CN28)/2</f>
        <v>401.54694835680755</v>
      </c>
      <c r="CO53" s="76"/>
      <c r="CP53" s="76"/>
      <c r="CQ53" s="76"/>
      <c r="CR53" s="76"/>
      <c r="CS53" s="113"/>
      <c r="CT53" s="24">
        <f>CK53+CN53</f>
        <v>1845.5548135253471</v>
      </c>
      <c r="CU53" s="113"/>
      <c r="CV53" s="114"/>
      <c r="CW53" s="76"/>
      <c r="CX53" s="76"/>
      <c r="CY53" s="76"/>
      <c r="CZ53" s="76"/>
      <c r="DA53" s="76"/>
      <c r="DB53" s="76"/>
      <c r="DC53" s="76"/>
      <c r="DD53" s="76"/>
      <c r="DE53" s="76"/>
      <c r="DF53" s="76"/>
      <c r="DG53" s="76"/>
      <c r="DH53" s="76"/>
      <c r="DI53" s="76"/>
      <c r="DJ53" s="76"/>
      <c r="DK53" s="76"/>
      <c r="DL53" s="76"/>
      <c r="DM53" s="76"/>
      <c r="DN53" s="76"/>
      <c r="DO53" s="24">
        <f>DO17</f>
        <v>2647.8694249357332</v>
      </c>
      <c r="DP53" s="76"/>
      <c r="DQ53" s="76"/>
      <c r="DR53" s="76"/>
      <c r="DS53" s="76"/>
      <c r="DT53" s="76"/>
      <c r="DU53" s="76"/>
      <c r="DV53" s="76"/>
      <c r="DW53" s="76"/>
      <c r="DX53" s="76"/>
      <c r="DY53" s="76"/>
      <c r="DZ53" s="76"/>
      <c r="EA53" s="24">
        <f>DU17</f>
        <v>4378.843582519281</v>
      </c>
      <c r="EB53" s="76"/>
      <c r="EC53" s="76"/>
      <c r="ED53" s="76"/>
      <c r="EE53" s="76"/>
      <c r="EF53" s="76"/>
      <c r="EG53" s="76"/>
      <c r="EH53" s="76"/>
      <c r="EI53" s="76"/>
      <c r="EJ53" s="76"/>
      <c r="EK53" s="76"/>
      <c r="EL53" s="76"/>
      <c r="EM53" s="76"/>
      <c r="EN53" s="76"/>
      <c r="EO53" s="76"/>
      <c r="EP53" s="76"/>
      <c r="EQ53" s="76"/>
      <c r="ER53" s="76"/>
      <c r="ES53" s="24">
        <f>ED17+EM17</f>
        <v>1991.8488709511573</v>
      </c>
      <c r="ET53" s="76"/>
      <c r="EU53" s="76"/>
      <c r="EV53" s="24">
        <f>EV19</f>
        <v>8235.7080000000005</v>
      </c>
      <c r="EW53" s="76"/>
      <c r="EX53" s="76"/>
      <c r="EY53" s="76"/>
      <c r="EZ53" s="76"/>
      <c r="FA53" s="76"/>
      <c r="FB53" s="24">
        <f>0</f>
        <v>0</v>
      </c>
      <c r="FC53" s="76"/>
      <c r="FD53" s="113"/>
      <c r="FE53" s="24">
        <f>EV53+FB53</f>
        <v>8235.7080000000005</v>
      </c>
      <c r="FF53" s="113"/>
      <c r="FG53" s="114"/>
      <c r="FH53" s="76"/>
      <c r="FI53" s="76"/>
      <c r="FJ53" s="76"/>
      <c r="FK53" s="24">
        <f>FK28</f>
        <v>2226.0044444444443</v>
      </c>
      <c r="FL53" s="76"/>
      <c r="FM53" s="76"/>
      <c r="FN53" s="24">
        <f>FN28</f>
        <v>14944.079812206572</v>
      </c>
      <c r="FO53" s="76"/>
      <c r="FP53" s="76"/>
      <c r="FQ53" s="24">
        <f>FQ28</f>
        <v>759.61502347417832</v>
      </c>
      <c r="FR53" s="76"/>
      <c r="FS53" s="113"/>
      <c r="FT53" s="24">
        <f>FK53+FN53+FQ53</f>
        <v>17929.699280125194</v>
      </c>
      <c r="FU53" s="113"/>
      <c r="FV53" s="114"/>
      <c r="FW53" s="24">
        <f>FW15</f>
        <v>24987.501076461995</v>
      </c>
      <c r="FX53" s="76"/>
      <c r="FY53" s="76"/>
      <c r="FZ53" s="24">
        <f>FZ19+GF19</f>
        <v>24530.012000000002</v>
      </c>
      <c r="GA53" s="76"/>
      <c r="GB53" s="76"/>
      <c r="GC53" s="114"/>
      <c r="GD53" s="76"/>
      <c r="GE53" s="76"/>
      <c r="GF53" s="76"/>
      <c r="GG53" s="76"/>
      <c r="GH53" s="76"/>
      <c r="GI53" s="76"/>
      <c r="GJ53" s="76"/>
      <c r="GK53" s="113"/>
      <c r="GL53" s="24">
        <f>FW53+FZ53</f>
        <v>49517.513076461997</v>
      </c>
      <c r="GM53" s="113"/>
      <c r="GN53" s="62"/>
      <c r="GO53" s="24">
        <f>Q53+CH53+CK53+CN53</f>
        <v>4327.8766759932132</v>
      </c>
      <c r="GP53" s="24">
        <f>DO53+EA53+ES53+EV53+FB53+FK53+FN53+FQ53+FW53+FZ53</f>
        <v>84701.482234993367</v>
      </c>
      <c r="GQ53" s="24">
        <f>GO53+GP53</f>
        <v>89029.358910986586</v>
      </c>
      <c r="GR53" s="62"/>
    </row>
    <row r="54" spans="1:200" s="83" customFormat="1" x14ac:dyDescent="0.3">
      <c r="A54" s="80"/>
      <c r="B54" s="62"/>
      <c r="C54" s="62"/>
      <c r="D54" s="79"/>
      <c r="E54" s="62"/>
      <c r="F54" s="65"/>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59"/>
      <c r="GP54" s="61" t="s">
        <v>191</v>
      </c>
      <c r="GQ54" s="59"/>
      <c r="GR54" s="62"/>
    </row>
    <row r="55" spans="1:200" s="83" customFormat="1" x14ac:dyDescent="0.35">
      <c r="A55" s="80"/>
      <c r="B55" s="66"/>
      <c r="C55" s="66"/>
      <c r="D55" s="81"/>
      <c r="E55" s="66"/>
      <c r="F55" s="68"/>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66"/>
      <c r="FL55" s="66"/>
      <c r="FM55" s="66"/>
      <c r="FN55" s="66"/>
      <c r="FO55" s="66"/>
      <c r="FP55" s="66"/>
      <c r="FQ55" s="66"/>
      <c r="FR55" s="66"/>
      <c r="FS55" s="66"/>
      <c r="FT55" s="66"/>
      <c r="FU55" s="66"/>
      <c r="FV55" s="66"/>
      <c r="FW55" s="66"/>
      <c r="FX55" s="66"/>
      <c r="FY55" s="66"/>
      <c r="FZ55" s="66"/>
      <c r="GA55" s="66"/>
      <c r="GB55" s="66"/>
      <c r="GC55" s="66"/>
      <c r="GD55" s="66"/>
      <c r="GE55" s="66"/>
      <c r="GF55" s="66"/>
      <c r="GG55" s="66"/>
      <c r="GH55" s="66"/>
      <c r="GI55" s="66"/>
      <c r="GJ55" s="66"/>
      <c r="GK55" s="66"/>
      <c r="GL55" s="66"/>
      <c r="GM55" s="66"/>
      <c r="GN55" s="62"/>
      <c r="GO55" s="78" t="s">
        <v>145</v>
      </c>
      <c r="GP55" s="78" t="s">
        <v>146</v>
      </c>
      <c r="GQ55" s="78" t="s">
        <v>147</v>
      </c>
      <c r="GR55" s="62"/>
    </row>
    <row r="56" spans="1:200" s="83" customFormat="1" ht="28" x14ac:dyDescent="0.35">
      <c r="A56" s="80"/>
      <c r="B56" s="76"/>
      <c r="C56" s="95"/>
      <c r="D56" s="11" t="s">
        <v>185</v>
      </c>
      <c r="E56" s="76">
        <v>2</v>
      </c>
      <c r="F56" s="76"/>
      <c r="G56" s="76"/>
      <c r="H56" s="76"/>
      <c r="I56" s="76"/>
      <c r="J56" s="76"/>
      <c r="K56" s="76"/>
      <c r="L56" s="76"/>
      <c r="M56" s="76"/>
      <c r="N56" s="76"/>
      <c r="O56" s="76"/>
      <c r="P56" s="76"/>
      <c r="Q56" s="24">
        <f>H17+K17+N17</f>
        <v>164.22803213367612</v>
      </c>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24">
        <f>CH12</f>
        <v>2845.9059640102832</v>
      </c>
      <c r="CI56" s="76"/>
      <c r="CJ56" s="76"/>
      <c r="CK56" s="24">
        <f>CK30</f>
        <v>2017.5117370892017</v>
      </c>
      <c r="CL56" s="76"/>
      <c r="CM56" s="76"/>
      <c r="CN56" s="24">
        <f>CN28</f>
        <v>544.29107981220659</v>
      </c>
      <c r="CO56" s="76"/>
      <c r="CP56" s="76"/>
      <c r="CQ56" s="76"/>
      <c r="CR56" s="76"/>
      <c r="CS56" s="113"/>
      <c r="CT56" s="24">
        <f>CK56+CN56</f>
        <v>2561.8028169014083</v>
      </c>
      <c r="CU56" s="113"/>
      <c r="CV56" s="114"/>
      <c r="CW56" s="76"/>
      <c r="CX56" s="76"/>
      <c r="CY56" s="76"/>
      <c r="CZ56" s="76"/>
      <c r="DA56" s="76"/>
      <c r="DB56" s="76"/>
      <c r="DC56" s="76"/>
      <c r="DD56" s="76"/>
      <c r="DE56" s="76"/>
      <c r="DF56" s="76"/>
      <c r="DG56" s="76"/>
      <c r="DH56" s="76"/>
      <c r="DI56" s="76"/>
      <c r="DJ56" s="76"/>
      <c r="DK56" s="76"/>
      <c r="DL56" s="76"/>
      <c r="DM56" s="76"/>
      <c r="DN56" s="76"/>
      <c r="DO56" s="24">
        <f>DO17+DL30</f>
        <v>3568.0572183629633</v>
      </c>
      <c r="DP56" s="76"/>
      <c r="DQ56" s="76"/>
      <c r="DR56" s="76"/>
      <c r="DS56" s="76"/>
      <c r="DT56" s="76"/>
      <c r="DU56" s="76"/>
      <c r="DV56" s="76"/>
      <c r="DW56" s="76"/>
      <c r="DX56" s="76"/>
      <c r="DY56" s="76"/>
      <c r="DZ56" s="76"/>
      <c r="EA56" s="24">
        <f>0</f>
        <v>0</v>
      </c>
      <c r="EB56" s="76"/>
      <c r="EC56" s="76"/>
      <c r="ED56" s="76"/>
      <c r="EE56" s="76"/>
      <c r="EF56" s="76"/>
      <c r="EG56" s="76"/>
      <c r="EH56" s="76"/>
      <c r="EI56" s="76"/>
      <c r="EJ56" s="76"/>
      <c r="EK56" s="76"/>
      <c r="EL56" s="76"/>
      <c r="EM56" s="76"/>
      <c r="EN56" s="76"/>
      <c r="EO56" s="76"/>
      <c r="EP56" s="76"/>
      <c r="EQ56" s="76"/>
      <c r="ER56" s="76"/>
      <c r="ES56" s="24">
        <f>ED17+EM17</f>
        <v>1991.8488709511573</v>
      </c>
      <c r="ET56" s="76"/>
      <c r="EU56" s="76"/>
      <c r="EV56" s="24">
        <f>EV21</f>
        <v>0</v>
      </c>
      <c r="EW56" s="76"/>
      <c r="EX56" s="76"/>
      <c r="EY56" s="76"/>
      <c r="EZ56" s="76"/>
      <c r="FA56" s="76"/>
      <c r="FB56" s="24">
        <f>FB17</f>
        <v>365.05777036334916</v>
      </c>
      <c r="FC56" s="76"/>
      <c r="FD56" s="113"/>
      <c r="FE56" s="24">
        <f>EV56+FB56</f>
        <v>365.05777036334916</v>
      </c>
      <c r="FF56" s="113"/>
      <c r="FG56" s="114"/>
      <c r="FH56" s="76"/>
      <c r="FI56" s="76"/>
      <c r="FJ56" s="76"/>
      <c r="FK56" s="24">
        <f>FK30</f>
        <v>3772.8888888888882</v>
      </c>
      <c r="FL56" s="76"/>
      <c r="FM56" s="76"/>
      <c r="FN56" s="24">
        <f>FN28</f>
        <v>14944.079812206572</v>
      </c>
      <c r="FO56" s="76"/>
      <c r="FP56" s="76"/>
      <c r="FQ56" s="24">
        <f>FQ30</f>
        <v>1794.3661971830986</v>
      </c>
      <c r="FR56" s="76"/>
      <c r="FS56" s="113"/>
      <c r="FT56" s="24">
        <f>FK56+FN56+FQ56</f>
        <v>20511.334898278557</v>
      </c>
      <c r="FU56" s="113"/>
      <c r="FV56" s="114"/>
      <c r="FW56" s="24">
        <f>0</f>
        <v>0</v>
      </c>
      <c r="FX56" s="76"/>
      <c r="FY56" s="76"/>
      <c r="FZ56" s="24">
        <f>FZ21+GC21+GF21+GI21</f>
        <v>17711.2</v>
      </c>
      <c r="GA56" s="76"/>
      <c r="GB56" s="76"/>
      <c r="GC56" s="114"/>
      <c r="GD56" s="76"/>
      <c r="GE56" s="76"/>
      <c r="GF56" s="76"/>
      <c r="GG56" s="76"/>
      <c r="GH56" s="76"/>
      <c r="GI56" s="76"/>
      <c r="GJ56" s="76"/>
      <c r="GK56" s="113"/>
      <c r="GL56" s="24">
        <f>FW56+FZ56</f>
        <v>17711.2</v>
      </c>
      <c r="GM56" s="113"/>
      <c r="GN56" s="62"/>
      <c r="GO56" s="24">
        <f>Q56+CH56+CK56+CN56</f>
        <v>5571.9368130453677</v>
      </c>
      <c r="GP56" s="24">
        <f>DO56+EA56+ES56+EV56+FB56+FK56+FN56+FQ56+FW56+FZ56</f>
        <v>44147.498757956026</v>
      </c>
      <c r="GQ56" s="24">
        <f>GO56+GP56</f>
        <v>49719.435571001392</v>
      </c>
      <c r="GR56" s="62"/>
    </row>
    <row r="57" spans="1:200" s="83" customFormat="1" ht="28" x14ac:dyDescent="0.35">
      <c r="A57" s="80"/>
      <c r="B57" s="76"/>
      <c r="C57" s="95"/>
      <c r="D57" s="11" t="s">
        <v>186</v>
      </c>
      <c r="E57" s="76">
        <v>2</v>
      </c>
      <c r="F57" s="76"/>
      <c r="G57" s="76"/>
      <c r="H57" s="76"/>
      <c r="I57" s="76"/>
      <c r="J57" s="76"/>
      <c r="K57" s="76"/>
      <c r="L57" s="76"/>
      <c r="M57" s="76"/>
      <c r="N57" s="76"/>
      <c r="O57" s="76"/>
      <c r="P57" s="76"/>
      <c r="Q57" s="24">
        <f>H17+K17+N17</f>
        <v>164.22803213367612</v>
      </c>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24">
        <f>CH12</f>
        <v>2845.9059640102832</v>
      </c>
      <c r="CI57" s="76"/>
      <c r="CJ57" s="76"/>
      <c r="CK57" s="24">
        <f>CK30</f>
        <v>2017.5117370892017</v>
      </c>
      <c r="CL57" s="76"/>
      <c r="CM57" s="76"/>
      <c r="CN57" s="24">
        <f>CN28</f>
        <v>544.29107981220659</v>
      </c>
      <c r="CO57" s="76"/>
      <c r="CP57" s="76"/>
      <c r="CQ57" s="76"/>
      <c r="CR57" s="76"/>
      <c r="CS57" s="113"/>
      <c r="CT57" s="24">
        <f>CK57+CN57</f>
        <v>2561.8028169014083</v>
      </c>
      <c r="CU57" s="113"/>
      <c r="CV57" s="114"/>
      <c r="CW57" s="76"/>
      <c r="CX57" s="76"/>
      <c r="CY57" s="76"/>
      <c r="CZ57" s="76"/>
      <c r="DA57" s="76"/>
      <c r="DB57" s="76"/>
      <c r="DC57" s="76"/>
      <c r="DD57" s="76"/>
      <c r="DE57" s="76"/>
      <c r="DF57" s="76"/>
      <c r="DG57" s="76"/>
      <c r="DH57" s="76"/>
      <c r="DI57" s="76"/>
      <c r="DJ57" s="76"/>
      <c r="DK57" s="76"/>
      <c r="DL57" s="76"/>
      <c r="DM57" s="76"/>
      <c r="DN57" s="76"/>
      <c r="DO57" s="24">
        <f>DO17+DL30</f>
        <v>3568.0572183629633</v>
      </c>
      <c r="DP57" s="76"/>
      <c r="DQ57" s="76"/>
      <c r="DR57" s="76"/>
      <c r="DS57" s="76"/>
      <c r="DT57" s="76"/>
      <c r="DU57" s="76"/>
      <c r="DV57" s="76"/>
      <c r="DW57" s="76"/>
      <c r="DX57" s="76"/>
      <c r="DY57" s="76"/>
      <c r="DZ57" s="76"/>
      <c r="EA57" s="24">
        <f>DU17</f>
        <v>4378.843582519281</v>
      </c>
      <c r="EB57" s="76"/>
      <c r="EC57" s="76"/>
      <c r="ED57" s="76"/>
      <c r="EE57" s="76"/>
      <c r="EF57" s="76"/>
      <c r="EG57" s="76"/>
      <c r="EH57" s="76"/>
      <c r="EI57" s="76"/>
      <c r="EJ57" s="76"/>
      <c r="EK57" s="76"/>
      <c r="EL57" s="76"/>
      <c r="EM57" s="76"/>
      <c r="EN57" s="76"/>
      <c r="EO57" s="76"/>
      <c r="EP57" s="76"/>
      <c r="EQ57" s="76"/>
      <c r="ER57" s="76"/>
      <c r="ES57" s="24">
        <f>ED17+EM17</f>
        <v>1991.8488709511573</v>
      </c>
      <c r="ET57" s="76"/>
      <c r="EU57" s="76"/>
      <c r="EV57" s="24">
        <f>EV19</f>
        <v>8235.7080000000005</v>
      </c>
      <c r="EW57" s="76"/>
      <c r="EX57" s="76"/>
      <c r="EY57" s="76"/>
      <c r="EZ57" s="76"/>
      <c r="FA57" s="76"/>
      <c r="FB57" s="24">
        <f>0</f>
        <v>0</v>
      </c>
      <c r="FC57" s="76"/>
      <c r="FD57" s="113"/>
      <c r="FE57" s="24">
        <f>EV57+FB57</f>
        <v>8235.7080000000005</v>
      </c>
      <c r="FF57" s="113"/>
      <c r="FG57" s="114"/>
      <c r="FH57" s="76"/>
      <c r="FI57" s="76"/>
      <c r="FJ57" s="76"/>
      <c r="FK57" s="24">
        <f>FK30</f>
        <v>3772.8888888888882</v>
      </c>
      <c r="FL57" s="76"/>
      <c r="FM57" s="76"/>
      <c r="FN57" s="24">
        <f>FN28</f>
        <v>14944.079812206572</v>
      </c>
      <c r="FO57" s="76"/>
      <c r="FP57" s="76"/>
      <c r="FQ57" s="24">
        <f>FQ30</f>
        <v>1794.3661971830986</v>
      </c>
      <c r="FR57" s="76"/>
      <c r="FS57" s="113"/>
      <c r="FT57" s="24">
        <f>FK57+FN57+FQ57</f>
        <v>20511.334898278557</v>
      </c>
      <c r="FU57" s="113"/>
      <c r="FV57" s="114"/>
      <c r="FW57" s="24">
        <f>FW14</f>
        <v>30234.211886161549</v>
      </c>
      <c r="FX57" s="76"/>
      <c r="FY57" s="76"/>
      <c r="FZ57" s="24">
        <f>FZ19+GC19+GF19+GI19</f>
        <v>32322.940000000002</v>
      </c>
      <c r="GA57" s="76"/>
      <c r="GB57" s="76"/>
      <c r="GC57" s="114"/>
      <c r="GD57" s="76"/>
      <c r="GE57" s="76"/>
      <c r="GF57" s="76"/>
      <c r="GG57" s="76"/>
      <c r="GH57" s="76"/>
      <c r="GI57" s="76"/>
      <c r="GJ57" s="76"/>
      <c r="GK57" s="113"/>
      <c r="GL57" s="24">
        <f>FW57+FZ57</f>
        <v>62557.151886161548</v>
      </c>
      <c r="GM57" s="113"/>
      <c r="GN57" s="62"/>
      <c r="GO57" s="24">
        <f>Q57+CH57+CK57+CN57</f>
        <v>5571.9368130453677</v>
      </c>
      <c r="GP57" s="24">
        <f>DO57+EA57+ES57+EV57+FB57+FK57+FN57+FQ57+FW57+FZ57</f>
        <v>101242.9444562735</v>
      </c>
      <c r="GQ57" s="24">
        <f>GO57+GP57</f>
        <v>106814.88126931887</v>
      </c>
      <c r="GR57" s="62"/>
    </row>
    <row r="58" spans="1:200" s="83" customFormat="1" x14ac:dyDescent="0.35">
      <c r="A58" s="80"/>
      <c r="B58" s="66"/>
      <c r="C58" s="66"/>
      <c r="D58" s="81"/>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c r="EO58" s="66"/>
      <c r="EP58" s="66"/>
      <c r="EQ58" s="66"/>
      <c r="ER58" s="66"/>
      <c r="ES58" s="66"/>
      <c r="ET58" s="66"/>
      <c r="EU58" s="66"/>
      <c r="EV58" s="66"/>
      <c r="EW58" s="66"/>
      <c r="EX58" s="66"/>
      <c r="EY58" s="66"/>
      <c r="EZ58" s="66"/>
      <c r="FA58" s="66"/>
      <c r="FB58" s="66"/>
      <c r="FC58" s="66"/>
      <c r="FD58" s="66"/>
      <c r="FE58" s="66"/>
      <c r="FF58" s="66"/>
      <c r="FG58" s="66"/>
      <c r="FH58" s="66"/>
      <c r="FI58" s="66"/>
      <c r="FJ58" s="66"/>
      <c r="FK58" s="66"/>
      <c r="FL58" s="66"/>
      <c r="FM58" s="66"/>
      <c r="FN58" s="66"/>
      <c r="FO58" s="66"/>
      <c r="FP58" s="66"/>
      <c r="FQ58" s="66"/>
      <c r="FR58" s="66"/>
      <c r="FS58" s="66"/>
      <c r="FT58" s="66"/>
      <c r="FU58" s="66"/>
      <c r="FV58" s="66"/>
      <c r="FW58" s="66"/>
      <c r="FX58" s="66"/>
      <c r="FY58" s="66"/>
      <c r="FZ58" s="66"/>
      <c r="GA58" s="66"/>
      <c r="GB58" s="66"/>
      <c r="GC58" s="66"/>
      <c r="GD58" s="66"/>
      <c r="GE58" s="66"/>
      <c r="GF58" s="66"/>
      <c r="GG58" s="66"/>
      <c r="GH58" s="66"/>
      <c r="GI58" s="66"/>
      <c r="GJ58" s="66"/>
      <c r="GK58" s="66"/>
      <c r="GL58" s="66"/>
      <c r="GM58" s="66"/>
      <c r="GN58" s="62"/>
      <c r="GO58" s="66"/>
      <c r="GP58" s="66"/>
      <c r="GQ58" s="66"/>
      <c r="GR58" s="62"/>
    </row>
    <row r="59" spans="1:200" s="83" customFormat="1" x14ac:dyDescent="0.35">
      <c r="A59" s="80"/>
      <c r="B59" s="62"/>
      <c r="C59" s="62"/>
      <c r="D59" s="79"/>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1" t="s">
        <v>189</v>
      </c>
      <c r="GQ59" s="62"/>
      <c r="GR59" s="62"/>
    </row>
    <row r="60" spans="1:200" x14ac:dyDescent="0.3">
      <c r="A60" s="80"/>
      <c r="B60" s="54" t="s">
        <v>143</v>
      </c>
      <c r="C60" s="54"/>
      <c r="D60" s="55"/>
      <c r="E60" s="66"/>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9"/>
      <c r="GO60" s="78" t="s">
        <v>145</v>
      </c>
      <c r="GP60" s="78" t="s">
        <v>146</v>
      </c>
      <c r="GQ60" s="78" t="s">
        <v>147</v>
      </c>
      <c r="GR60" s="59"/>
    </row>
    <row r="61" spans="1:200" s="83" customFormat="1" x14ac:dyDescent="0.35">
      <c r="A61" s="80"/>
      <c r="B61" s="51"/>
      <c r="C61" s="95"/>
      <c r="D61" s="51" t="s">
        <v>187</v>
      </c>
      <c r="E61" s="51">
        <v>3</v>
      </c>
      <c r="F61" s="51"/>
      <c r="G61" s="51"/>
      <c r="H61" s="51"/>
      <c r="I61" s="51"/>
      <c r="J61" s="51"/>
      <c r="K61" s="51"/>
      <c r="L61" s="51"/>
      <c r="M61" s="51"/>
      <c r="N61" s="51"/>
      <c r="O61" s="51"/>
      <c r="P61" s="51"/>
      <c r="Q61" s="24">
        <f>H24+K24+N24</f>
        <v>7751.5393258426975</v>
      </c>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24">
        <f>0</f>
        <v>0</v>
      </c>
      <c r="CI61" s="51"/>
      <c r="CJ61" s="51"/>
      <c r="CK61" s="24">
        <f>CK28</f>
        <v>379.80751173708916</v>
      </c>
      <c r="CL61" s="51"/>
      <c r="CM61" s="51"/>
      <c r="CN61" s="24">
        <f>CN30</f>
        <v>258.80281690140845</v>
      </c>
      <c r="CO61" s="51"/>
      <c r="CP61" s="51"/>
      <c r="CQ61" s="51"/>
      <c r="CR61" s="51"/>
      <c r="CS61" s="113"/>
      <c r="CT61" s="24">
        <f>CK61+CN61</f>
        <v>638.61032863849755</v>
      </c>
      <c r="CU61" s="113"/>
      <c r="CV61" s="114"/>
      <c r="CW61" s="51"/>
      <c r="CX61" s="51"/>
      <c r="CY61" s="51"/>
      <c r="CZ61" s="51"/>
      <c r="DA61" s="51"/>
      <c r="DB61" s="51"/>
      <c r="DC61" s="51"/>
      <c r="DD61" s="51"/>
      <c r="DE61" s="51"/>
      <c r="DF61" s="51"/>
      <c r="DG61" s="51"/>
      <c r="DH61" s="51"/>
      <c r="DI61" s="51"/>
      <c r="DJ61" s="51"/>
      <c r="DK61" s="51"/>
      <c r="DL61" s="51"/>
      <c r="DM61" s="51"/>
      <c r="DN61" s="51"/>
      <c r="DO61" s="24">
        <f>DO17</f>
        <v>2647.8694249357332</v>
      </c>
      <c r="DP61" s="51"/>
      <c r="DQ61" s="51"/>
      <c r="DR61" s="51"/>
      <c r="DS61" s="51"/>
      <c r="DT61" s="51"/>
      <c r="DU61" s="51"/>
      <c r="DV61" s="51"/>
      <c r="DW61" s="51"/>
      <c r="DX61" s="51"/>
      <c r="DY61" s="51"/>
      <c r="DZ61" s="51"/>
      <c r="EA61" s="24">
        <f>0</f>
        <v>0</v>
      </c>
      <c r="EB61" s="51"/>
      <c r="EC61" s="51"/>
      <c r="ED61" s="51"/>
      <c r="EE61" s="51"/>
      <c r="EF61" s="51"/>
      <c r="EG61" s="51"/>
      <c r="EH61" s="51"/>
      <c r="EI61" s="51"/>
      <c r="EJ61" s="51"/>
      <c r="EK61" s="51"/>
      <c r="EL61" s="51"/>
      <c r="EM61" s="51"/>
      <c r="EN61" s="51"/>
      <c r="EO61" s="51"/>
      <c r="EP61" s="51"/>
      <c r="EQ61" s="51"/>
      <c r="ER61" s="51"/>
      <c r="ES61" s="24">
        <f>0</f>
        <v>0</v>
      </c>
      <c r="ET61" s="51"/>
      <c r="EU61" s="51"/>
      <c r="EV61" s="24">
        <f>EV21</f>
        <v>0</v>
      </c>
      <c r="EW61" s="51"/>
      <c r="EX61" s="51"/>
      <c r="EY61" s="51"/>
      <c r="EZ61" s="51"/>
      <c r="FA61" s="51"/>
      <c r="FB61" s="24">
        <f>FB17</f>
        <v>365.05777036334916</v>
      </c>
      <c r="FC61" s="51"/>
      <c r="FD61" s="113"/>
      <c r="FE61" s="24">
        <f>EV61+FB61</f>
        <v>365.05777036334916</v>
      </c>
      <c r="FF61" s="113"/>
      <c r="FG61" s="114"/>
      <c r="FH61" s="51"/>
      <c r="FI61" s="51"/>
      <c r="FJ61" s="51"/>
      <c r="FK61" s="24">
        <f>0</f>
        <v>0</v>
      </c>
      <c r="FL61" s="51"/>
      <c r="FM61" s="51"/>
      <c r="FN61" s="24">
        <f>0</f>
        <v>0</v>
      </c>
      <c r="FO61" s="51"/>
      <c r="FP61" s="51"/>
      <c r="FQ61" s="24">
        <f>0</f>
        <v>0</v>
      </c>
      <c r="FR61" s="51"/>
      <c r="FS61" s="113"/>
      <c r="FT61" s="24">
        <f>FK61+FN61+FQ61</f>
        <v>0</v>
      </c>
      <c r="FU61" s="113"/>
      <c r="FV61" s="114"/>
      <c r="FW61" s="24">
        <f>0</f>
        <v>0</v>
      </c>
      <c r="FX61" s="51"/>
      <c r="FY61" s="51"/>
      <c r="FZ61" s="24">
        <f>FZ21</f>
        <v>10980.944000000001</v>
      </c>
      <c r="GA61" s="51"/>
      <c r="GB61" s="51"/>
      <c r="GC61" s="114"/>
      <c r="GD61" s="51"/>
      <c r="GE61" s="51"/>
      <c r="GF61" s="51"/>
      <c r="GG61" s="51"/>
      <c r="GH61" s="51"/>
      <c r="GI61" s="51"/>
      <c r="GJ61" s="51"/>
      <c r="GK61" s="113"/>
      <c r="GL61" s="24">
        <f>FW61+FZ61</f>
        <v>10980.944000000001</v>
      </c>
      <c r="GM61" s="113"/>
      <c r="GN61" s="62"/>
      <c r="GO61" s="24">
        <f>Q61+CH61+CK61+CN61</f>
        <v>8390.1496544811944</v>
      </c>
      <c r="GP61" s="24">
        <f>DO61+EA61+ES61+EV61+FB61+FK61+FN61+FQ61+FW61+FZ61</f>
        <v>13993.871195299083</v>
      </c>
      <c r="GQ61" s="24">
        <f>GO61+GP61</f>
        <v>22384.020849780278</v>
      </c>
      <c r="GR61" s="62"/>
    </row>
    <row r="62" spans="1:200" s="83" customFormat="1" x14ac:dyDescent="0.35">
      <c r="A62" s="80"/>
      <c r="B62" s="51"/>
      <c r="C62" s="95"/>
      <c r="D62" s="51" t="s">
        <v>188</v>
      </c>
      <c r="E62" s="51">
        <v>3</v>
      </c>
      <c r="F62" s="51"/>
      <c r="G62" s="51"/>
      <c r="H62" s="51"/>
      <c r="I62" s="51"/>
      <c r="J62" s="51"/>
      <c r="K62" s="51"/>
      <c r="L62" s="51"/>
      <c r="M62" s="51"/>
      <c r="N62" s="51"/>
      <c r="O62" s="51"/>
      <c r="P62" s="51"/>
      <c r="Q62" s="24">
        <f>H24+K24+N24</f>
        <v>7751.5393258426975</v>
      </c>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24">
        <f>0</f>
        <v>0</v>
      </c>
      <c r="CI62" s="51"/>
      <c r="CJ62" s="51"/>
      <c r="CK62" s="24">
        <f>CK28</f>
        <v>379.80751173708916</v>
      </c>
      <c r="CL62" s="51"/>
      <c r="CM62" s="51"/>
      <c r="CN62" s="24">
        <f>CN30</f>
        <v>258.80281690140845</v>
      </c>
      <c r="CO62" s="51"/>
      <c r="CP62" s="51"/>
      <c r="CQ62" s="51"/>
      <c r="CR62" s="51"/>
      <c r="CS62" s="113"/>
      <c r="CT62" s="24">
        <f>CK62+CN62</f>
        <v>638.61032863849755</v>
      </c>
      <c r="CU62" s="113"/>
      <c r="CV62" s="114"/>
      <c r="CW62" s="51"/>
      <c r="CX62" s="51"/>
      <c r="CY62" s="51"/>
      <c r="CZ62" s="51"/>
      <c r="DA62" s="51"/>
      <c r="DB62" s="51"/>
      <c r="DC62" s="51"/>
      <c r="DD62" s="51"/>
      <c r="DE62" s="51"/>
      <c r="DF62" s="51"/>
      <c r="DG62" s="51"/>
      <c r="DH62" s="51"/>
      <c r="DI62" s="51"/>
      <c r="DJ62" s="51"/>
      <c r="DK62" s="51"/>
      <c r="DL62" s="51"/>
      <c r="DM62" s="51"/>
      <c r="DN62" s="51"/>
      <c r="DO62" s="24">
        <f>DO17</f>
        <v>2647.8694249357332</v>
      </c>
      <c r="DP62" s="51"/>
      <c r="DQ62" s="51"/>
      <c r="DR62" s="51"/>
      <c r="DS62" s="51"/>
      <c r="DT62" s="51"/>
      <c r="DU62" s="51"/>
      <c r="DV62" s="51"/>
      <c r="DW62" s="51"/>
      <c r="DX62" s="51"/>
      <c r="DY62" s="51"/>
      <c r="DZ62" s="51"/>
      <c r="EA62" s="24">
        <f>0</f>
        <v>0</v>
      </c>
      <c r="EB62" s="51"/>
      <c r="EC62" s="51"/>
      <c r="ED62" s="51"/>
      <c r="EE62" s="51"/>
      <c r="EF62" s="51"/>
      <c r="EG62" s="51"/>
      <c r="EH62" s="51"/>
      <c r="EI62" s="51"/>
      <c r="EJ62" s="51"/>
      <c r="EK62" s="51"/>
      <c r="EL62" s="51"/>
      <c r="EM62" s="51"/>
      <c r="EN62" s="51"/>
      <c r="EO62" s="51"/>
      <c r="EP62" s="51"/>
      <c r="EQ62" s="51"/>
      <c r="ER62" s="51"/>
      <c r="ES62" s="24">
        <f>ED17+EM17</f>
        <v>1991.8488709511573</v>
      </c>
      <c r="ET62" s="51"/>
      <c r="EU62" s="51"/>
      <c r="EV62" s="24">
        <f>EV19</f>
        <v>8235.7080000000005</v>
      </c>
      <c r="EW62" s="51"/>
      <c r="EX62" s="51"/>
      <c r="EY62" s="51"/>
      <c r="EZ62" s="51"/>
      <c r="FA62" s="51"/>
      <c r="FB62" s="24">
        <f>0</f>
        <v>0</v>
      </c>
      <c r="FC62" s="51"/>
      <c r="FD62" s="113"/>
      <c r="FE62" s="24">
        <f>EV62+FB62</f>
        <v>8235.7080000000005</v>
      </c>
      <c r="FF62" s="113"/>
      <c r="FG62" s="114"/>
      <c r="FH62" s="51"/>
      <c r="FI62" s="51"/>
      <c r="FJ62" s="51"/>
      <c r="FK62" s="24">
        <f>0</f>
        <v>0</v>
      </c>
      <c r="FL62" s="51"/>
      <c r="FM62" s="51"/>
      <c r="FN62" s="24">
        <f>0</f>
        <v>0</v>
      </c>
      <c r="FO62" s="51"/>
      <c r="FP62" s="51"/>
      <c r="FQ62" s="24">
        <f>0</f>
        <v>0</v>
      </c>
      <c r="FR62" s="51"/>
      <c r="FS62" s="113"/>
      <c r="FT62" s="24">
        <f>FK62+FN62+FQ62</f>
        <v>0</v>
      </c>
      <c r="FU62" s="113"/>
      <c r="FV62" s="114"/>
      <c r="FW62" s="24">
        <f>0</f>
        <v>0</v>
      </c>
      <c r="FX62" s="51"/>
      <c r="FY62" s="51"/>
      <c r="FZ62" s="24">
        <f>FZ19</f>
        <v>20987.772000000001</v>
      </c>
      <c r="GA62" s="51"/>
      <c r="GB62" s="51"/>
      <c r="GC62" s="114"/>
      <c r="GD62" s="51"/>
      <c r="GE62" s="51"/>
      <c r="GF62" s="51"/>
      <c r="GG62" s="51"/>
      <c r="GH62" s="51"/>
      <c r="GI62" s="51"/>
      <c r="GJ62" s="51"/>
      <c r="GK62" s="113"/>
      <c r="GL62" s="24">
        <f>FW62+FZ62</f>
        <v>20987.772000000001</v>
      </c>
      <c r="GM62" s="113"/>
      <c r="GN62" s="62"/>
      <c r="GO62" s="24">
        <f>Q62+CH62+CK62+CN62</f>
        <v>8390.1496544811944</v>
      </c>
      <c r="GP62" s="24">
        <f>DO62+EA62+ES62+EV62+FB62+FK62+FN62+FQ62+FW62+FZ62</f>
        <v>33863.19829588689</v>
      </c>
      <c r="GQ62" s="24">
        <f>GO62+GP62</f>
        <v>42253.347950368086</v>
      </c>
      <c r="GR62" s="62"/>
    </row>
    <row r="63" spans="1:200" s="83" customFormat="1" x14ac:dyDescent="0.3">
      <c r="A63" s="80"/>
      <c r="B63" s="62"/>
      <c r="C63" s="62"/>
      <c r="D63" s="62"/>
      <c r="E63" s="62"/>
      <c r="F63" s="65"/>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5"/>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5"/>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5"/>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59"/>
      <c r="GP63" s="61" t="s">
        <v>190</v>
      </c>
      <c r="GQ63" s="59"/>
      <c r="GR63" s="62"/>
    </row>
    <row r="64" spans="1:200" s="83" customFormat="1" x14ac:dyDescent="0.35">
      <c r="A64" s="80"/>
      <c r="B64" s="66"/>
      <c r="C64" s="66"/>
      <c r="D64" s="66"/>
      <c r="E64" s="66"/>
      <c r="F64" s="68"/>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8"/>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8"/>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c r="EO64" s="66"/>
      <c r="EP64" s="66"/>
      <c r="EQ64" s="66"/>
      <c r="ER64" s="66"/>
      <c r="ES64" s="68"/>
      <c r="ET64" s="66"/>
      <c r="EU64" s="66"/>
      <c r="EV64" s="66"/>
      <c r="EW64" s="66"/>
      <c r="EX64" s="66"/>
      <c r="EY64" s="66"/>
      <c r="EZ64" s="66"/>
      <c r="FA64" s="66"/>
      <c r="FB64" s="66"/>
      <c r="FC64" s="66"/>
      <c r="FD64" s="66"/>
      <c r="FE64" s="66"/>
      <c r="FF64" s="66"/>
      <c r="FG64" s="66"/>
      <c r="FH64" s="66"/>
      <c r="FI64" s="66"/>
      <c r="FJ64" s="66"/>
      <c r="FK64" s="66"/>
      <c r="FL64" s="66"/>
      <c r="FM64" s="66"/>
      <c r="FN64" s="66"/>
      <c r="FO64" s="66"/>
      <c r="FP64" s="66"/>
      <c r="FQ64" s="66"/>
      <c r="FR64" s="66"/>
      <c r="FS64" s="66"/>
      <c r="FT64" s="66"/>
      <c r="FU64" s="66"/>
      <c r="FV64" s="66"/>
      <c r="FW64" s="66"/>
      <c r="FX64" s="66"/>
      <c r="FY64" s="66"/>
      <c r="FZ64" s="66"/>
      <c r="GA64" s="66"/>
      <c r="GB64" s="66"/>
      <c r="GC64" s="66"/>
      <c r="GD64" s="66"/>
      <c r="GE64" s="66"/>
      <c r="GF64" s="66"/>
      <c r="GG64" s="66"/>
      <c r="GH64" s="66"/>
      <c r="GI64" s="66"/>
      <c r="GJ64" s="66"/>
      <c r="GK64" s="66"/>
      <c r="GL64" s="66"/>
      <c r="GM64" s="66"/>
      <c r="GN64" s="62"/>
      <c r="GO64" s="78" t="s">
        <v>145</v>
      </c>
      <c r="GP64" s="78" t="s">
        <v>146</v>
      </c>
      <c r="GQ64" s="78" t="s">
        <v>147</v>
      </c>
      <c r="GR64" s="62"/>
    </row>
    <row r="65" spans="1:200" s="83" customFormat="1" x14ac:dyDescent="0.35">
      <c r="A65" s="80"/>
      <c r="B65" s="76"/>
      <c r="C65" s="95"/>
      <c r="D65" s="76" t="s">
        <v>187</v>
      </c>
      <c r="E65" s="76">
        <v>3</v>
      </c>
      <c r="F65" s="76"/>
      <c r="G65" s="76"/>
      <c r="H65" s="76"/>
      <c r="I65" s="76"/>
      <c r="J65" s="76"/>
      <c r="K65" s="76"/>
      <c r="L65" s="76"/>
      <c r="M65" s="76"/>
      <c r="N65" s="76"/>
      <c r="O65" s="76"/>
      <c r="P65" s="76"/>
      <c r="Q65" s="24">
        <f>H24+K24+N24</f>
        <v>7751.5393258426975</v>
      </c>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24">
        <f>BS30</f>
        <v>303.66197183098586</v>
      </c>
      <c r="CI65" s="76"/>
      <c r="CJ65" s="76"/>
      <c r="CK65" s="24">
        <f>CK24</f>
        <v>1444.0078651685394</v>
      </c>
      <c r="CL65" s="76"/>
      <c r="CM65" s="76"/>
      <c r="CN65" s="24">
        <f>(CN30+CN28)/2</f>
        <v>401.54694835680755</v>
      </c>
      <c r="CO65" s="76"/>
      <c r="CP65" s="76"/>
      <c r="CQ65" s="76"/>
      <c r="CR65" s="76"/>
      <c r="CS65" s="113"/>
      <c r="CT65" s="24">
        <f>CK65+CN65</f>
        <v>1845.5548135253471</v>
      </c>
      <c r="CU65" s="113"/>
      <c r="CV65" s="114"/>
      <c r="CW65" s="76"/>
      <c r="CX65" s="76"/>
      <c r="CY65" s="76"/>
      <c r="CZ65" s="76"/>
      <c r="DA65" s="76"/>
      <c r="DB65" s="76"/>
      <c r="DC65" s="76"/>
      <c r="DD65" s="76"/>
      <c r="DE65" s="76"/>
      <c r="DF65" s="76"/>
      <c r="DG65" s="76"/>
      <c r="DH65" s="76"/>
      <c r="DI65" s="76"/>
      <c r="DJ65" s="76"/>
      <c r="DK65" s="76"/>
      <c r="DL65" s="76"/>
      <c r="DM65" s="76"/>
      <c r="DN65" s="76"/>
      <c r="DO65" s="24">
        <f>DO17</f>
        <v>2647.8694249357332</v>
      </c>
      <c r="DP65" s="76"/>
      <c r="DQ65" s="76"/>
      <c r="DR65" s="76"/>
      <c r="DS65" s="76"/>
      <c r="DT65" s="76"/>
      <c r="DU65" s="76"/>
      <c r="DV65" s="76"/>
      <c r="DW65" s="76"/>
      <c r="DX65" s="76"/>
      <c r="DY65" s="76"/>
      <c r="DZ65" s="76"/>
      <c r="EA65" s="24">
        <f>0</f>
        <v>0</v>
      </c>
      <c r="EB65" s="76"/>
      <c r="EC65" s="76"/>
      <c r="ED65" s="76"/>
      <c r="EE65" s="76"/>
      <c r="EF65" s="76"/>
      <c r="EG65" s="76"/>
      <c r="EH65" s="76"/>
      <c r="EI65" s="76"/>
      <c r="EJ65" s="76"/>
      <c r="EK65" s="76"/>
      <c r="EL65" s="76"/>
      <c r="EM65" s="76"/>
      <c r="EN65" s="76"/>
      <c r="EO65" s="76"/>
      <c r="EP65" s="76"/>
      <c r="EQ65" s="76"/>
      <c r="ER65" s="76"/>
      <c r="ES65" s="24">
        <f>EM17</f>
        <v>674.74361953727521</v>
      </c>
      <c r="ET65" s="76"/>
      <c r="EU65" s="76"/>
      <c r="EV65" s="24">
        <f>EV21</f>
        <v>0</v>
      </c>
      <c r="EW65" s="76"/>
      <c r="EX65" s="76"/>
      <c r="EY65" s="76"/>
      <c r="EZ65" s="76"/>
      <c r="FA65" s="76"/>
      <c r="FB65" s="24">
        <f>FB17</f>
        <v>365.05777036334916</v>
      </c>
      <c r="FC65" s="76"/>
      <c r="FD65" s="113"/>
      <c r="FE65" s="24">
        <f>EV65+FB65</f>
        <v>365.05777036334916</v>
      </c>
      <c r="FF65" s="113"/>
      <c r="FG65" s="114"/>
      <c r="FH65" s="76"/>
      <c r="FI65" s="76"/>
      <c r="FJ65" s="76"/>
      <c r="FK65" s="24">
        <f>FK28</f>
        <v>2226.0044444444443</v>
      </c>
      <c r="FL65" s="76"/>
      <c r="FM65" s="76"/>
      <c r="FN65" s="24">
        <f>FN28</f>
        <v>14944.079812206572</v>
      </c>
      <c r="FO65" s="76"/>
      <c r="FP65" s="76"/>
      <c r="FQ65" s="24">
        <f>FQ28</f>
        <v>759.61502347417832</v>
      </c>
      <c r="FR65" s="76"/>
      <c r="FS65" s="113"/>
      <c r="FT65" s="24">
        <f>FK65+FN65+FQ65</f>
        <v>17929.699280125194</v>
      </c>
      <c r="FU65" s="113"/>
      <c r="FV65" s="114"/>
      <c r="FW65" s="24">
        <f>0</f>
        <v>0</v>
      </c>
      <c r="FX65" s="76"/>
      <c r="FY65" s="76"/>
      <c r="FZ65" s="24">
        <f>FZ21+GF21</f>
        <v>14788.852000000003</v>
      </c>
      <c r="GA65" s="76"/>
      <c r="GB65" s="76"/>
      <c r="GC65" s="114"/>
      <c r="GD65" s="76"/>
      <c r="GE65" s="76"/>
      <c r="GF65" s="76"/>
      <c r="GG65" s="76"/>
      <c r="GH65" s="76"/>
      <c r="GI65" s="76"/>
      <c r="GJ65" s="76"/>
      <c r="GK65" s="113"/>
      <c r="GL65" s="24">
        <f>FW65+FZ65</f>
        <v>14788.852000000003</v>
      </c>
      <c r="GM65" s="113"/>
      <c r="GN65" s="62"/>
      <c r="GO65" s="24">
        <f>Q65+CH65+CK65+CN65</f>
        <v>9900.756111199029</v>
      </c>
      <c r="GP65" s="24">
        <f>DO65+EA65+ES65+EV65+FB65+FK65+FN65+FQ65+FW65+FZ65</f>
        <v>36406.222094961558</v>
      </c>
      <c r="GQ65" s="24">
        <f>GO65+GP65</f>
        <v>46306.978206160587</v>
      </c>
      <c r="GR65" s="62"/>
    </row>
    <row r="66" spans="1:200" s="83" customFormat="1" x14ac:dyDescent="0.35">
      <c r="A66" s="80"/>
      <c r="B66" s="76"/>
      <c r="C66" s="95"/>
      <c r="D66" s="76" t="s">
        <v>188</v>
      </c>
      <c r="E66" s="76">
        <v>3</v>
      </c>
      <c r="F66" s="76"/>
      <c r="G66" s="76"/>
      <c r="H66" s="76"/>
      <c r="I66" s="76"/>
      <c r="J66" s="76"/>
      <c r="K66" s="76"/>
      <c r="L66" s="76"/>
      <c r="M66" s="76"/>
      <c r="N66" s="76"/>
      <c r="O66" s="76"/>
      <c r="P66" s="76"/>
      <c r="Q66" s="24">
        <f>H24+K24+N24</f>
        <v>7751.5393258426975</v>
      </c>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24">
        <f>BS30</f>
        <v>303.66197183098586</v>
      </c>
      <c r="CI66" s="76"/>
      <c r="CJ66" s="76"/>
      <c r="CK66" s="24">
        <f>CK24</f>
        <v>1444.0078651685394</v>
      </c>
      <c r="CL66" s="76"/>
      <c r="CM66" s="76"/>
      <c r="CN66" s="24">
        <f>(CN30+CN28)/2</f>
        <v>401.54694835680755</v>
      </c>
      <c r="CO66" s="76"/>
      <c r="CP66" s="76"/>
      <c r="CQ66" s="76"/>
      <c r="CR66" s="76"/>
      <c r="CS66" s="113"/>
      <c r="CT66" s="24">
        <f>CK66+CN66</f>
        <v>1845.5548135253471</v>
      </c>
      <c r="CU66" s="113"/>
      <c r="CV66" s="114"/>
      <c r="CW66" s="76"/>
      <c r="CX66" s="76"/>
      <c r="CY66" s="76"/>
      <c r="CZ66" s="76"/>
      <c r="DA66" s="76"/>
      <c r="DB66" s="76"/>
      <c r="DC66" s="76"/>
      <c r="DD66" s="76"/>
      <c r="DE66" s="76"/>
      <c r="DF66" s="76"/>
      <c r="DG66" s="76"/>
      <c r="DH66" s="76"/>
      <c r="DI66" s="76"/>
      <c r="DJ66" s="76"/>
      <c r="DK66" s="76"/>
      <c r="DL66" s="76"/>
      <c r="DM66" s="76"/>
      <c r="DN66" s="76"/>
      <c r="DO66" s="24">
        <f>DO17</f>
        <v>2647.8694249357332</v>
      </c>
      <c r="DP66" s="76"/>
      <c r="DQ66" s="76"/>
      <c r="DR66" s="76"/>
      <c r="DS66" s="76"/>
      <c r="DT66" s="76"/>
      <c r="DU66" s="76"/>
      <c r="DV66" s="76"/>
      <c r="DW66" s="76"/>
      <c r="DX66" s="76"/>
      <c r="DY66" s="76"/>
      <c r="DZ66" s="76"/>
      <c r="EA66" s="24">
        <f>0</f>
        <v>0</v>
      </c>
      <c r="EB66" s="76"/>
      <c r="EC66" s="76"/>
      <c r="ED66" s="76"/>
      <c r="EE66" s="76"/>
      <c r="EF66" s="76"/>
      <c r="EG66" s="76"/>
      <c r="EH66" s="76"/>
      <c r="EI66" s="76"/>
      <c r="EJ66" s="76"/>
      <c r="EK66" s="76"/>
      <c r="EL66" s="76"/>
      <c r="EM66" s="76"/>
      <c r="EN66" s="76"/>
      <c r="EO66" s="76"/>
      <c r="EP66" s="76"/>
      <c r="EQ66" s="76"/>
      <c r="ER66" s="76"/>
      <c r="ES66" s="24">
        <f>ED17+EM17</f>
        <v>1991.8488709511573</v>
      </c>
      <c r="ET66" s="76"/>
      <c r="EU66" s="76"/>
      <c r="EV66" s="24">
        <f>EV19</f>
        <v>8235.7080000000005</v>
      </c>
      <c r="EW66" s="76"/>
      <c r="EX66" s="76"/>
      <c r="EY66" s="76"/>
      <c r="EZ66" s="76"/>
      <c r="FA66" s="76"/>
      <c r="FB66" s="24">
        <f>0</f>
        <v>0</v>
      </c>
      <c r="FC66" s="76"/>
      <c r="FD66" s="113"/>
      <c r="FE66" s="24">
        <f>EV66+FB66</f>
        <v>8235.7080000000005</v>
      </c>
      <c r="FF66" s="113"/>
      <c r="FG66" s="114"/>
      <c r="FH66" s="76"/>
      <c r="FI66" s="76"/>
      <c r="FJ66" s="76"/>
      <c r="FK66" s="24">
        <f>FK28</f>
        <v>2226.0044444444443</v>
      </c>
      <c r="FL66" s="76"/>
      <c r="FM66" s="76"/>
      <c r="FN66" s="24">
        <f>FN28</f>
        <v>14944.079812206572</v>
      </c>
      <c r="FO66" s="76"/>
      <c r="FP66" s="76"/>
      <c r="FQ66" s="24">
        <f>FQ28</f>
        <v>759.61502347417832</v>
      </c>
      <c r="FR66" s="76"/>
      <c r="FS66" s="113"/>
      <c r="FT66" s="24">
        <f>FK66+FN66+FQ66</f>
        <v>17929.699280125194</v>
      </c>
      <c r="FU66" s="113"/>
      <c r="FV66" s="114"/>
      <c r="FW66" s="24">
        <f>FW15</f>
        <v>24987.501076461995</v>
      </c>
      <c r="FX66" s="76"/>
      <c r="FY66" s="76"/>
      <c r="FZ66" s="24">
        <f>FZ19+GF19</f>
        <v>24530.012000000002</v>
      </c>
      <c r="GA66" s="76"/>
      <c r="GB66" s="76"/>
      <c r="GC66" s="114"/>
      <c r="GD66" s="76"/>
      <c r="GE66" s="76"/>
      <c r="GF66" s="76"/>
      <c r="GG66" s="76"/>
      <c r="GH66" s="76"/>
      <c r="GI66" s="76"/>
      <c r="GJ66" s="76"/>
      <c r="GK66" s="113"/>
      <c r="GL66" s="24">
        <f>FW66+FZ66</f>
        <v>49517.513076461997</v>
      </c>
      <c r="GM66" s="113"/>
      <c r="GN66" s="62"/>
      <c r="GO66" s="24">
        <f>Q66+CH66+CK66+CN66</f>
        <v>9900.756111199029</v>
      </c>
      <c r="GP66" s="24">
        <f>DO66+EA66+ES66+EV66+FB66+FK66+FN66+FQ66+FW66+FZ66</f>
        <v>80322.638652474081</v>
      </c>
      <c r="GQ66" s="24">
        <f>GO66+GP66</f>
        <v>90223.394763673103</v>
      </c>
      <c r="GR66" s="62"/>
    </row>
    <row r="67" spans="1:200" s="83" customFormat="1" x14ac:dyDescent="0.3">
      <c r="A67" s="80"/>
      <c r="B67" s="62"/>
      <c r="C67" s="62"/>
      <c r="D67" s="62"/>
      <c r="E67" s="62"/>
      <c r="F67" s="65"/>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59"/>
      <c r="GP67" s="61" t="s">
        <v>191</v>
      </c>
      <c r="GQ67" s="59"/>
      <c r="GR67" s="62"/>
    </row>
    <row r="68" spans="1:200" s="83" customFormat="1" x14ac:dyDescent="0.35">
      <c r="A68" s="80"/>
      <c r="B68" s="66"/>
      <c r="C68" s="66"/>
      <c r="D68" s="66"/>
      <c r="E68" s="66"/>
      <c r="F68" s="68"/>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c r="EO68" s="66"/>
      <c r="EP68" s="66"/>
      <c r="EQ68" s="66"/>
      <c r="ER68" s="66"/>
      <c r="ES68" s="66"/>
      <c r="ET68" s="66"/>
      <c r="EU68" s="66"/>
      <c r="EV68" s="66"/>
      <c r="EW68" s="66"/>
      <c r="EX68" s="66"/>
      <c r="EY68" s="66"/>
      <c r="EZ68" s="66"/>
      <c r="FA68" s="66"/>
      <c r="FB68" s="66"/>
      <c r="FC68" s="66"/>
      <c r="FD68" s="66"/>
      <c r="FE68" s="66"/>
      <c r="FF68" s="66"/>
      <c r="FG68" s="66"/>
      <c r="FH68" s="66"/>
      <c r="FI68" s="66"/>
      <c r="FJ68" s="66"/>
      <c r="FK68" s="66"/>
      <c r="FL68" s="66"/>
      <c r="FM68" s="66"/>
      <c r="FN68" s="66"/>
      <c r="FO68" s="66"/>
      <c r="FP68" s="66"/>
      <c r="FQ68" s="66"/>
      <c r="FR68" s="66"/>
      <c r="FS68" s="66"/>
      <c r="FT68" s="66"/>
      <c r="FU68" s="66"/>
      <c r="FV68" s="66"/>
      <c r="FW68" s="66"/>
      <c r="FX68" s="66"/>
      <c r="FY68" s="66"/>
      <c r="FZ68" s="66"/>
      <c r="GA68" s="66"/>
      <c r="GB68" s="66"/>
      <c r="GC68" s="66"/>
      <c r="GD68" s="66"/>
      <c r="GE68" s="66"/>
      <c r="GF68" s="66"/>
      <c r="GG68" s="66"/>
      <c r="GH68" s="66"/>
      <c r="GI68" s="66"/>
      <c r="GJ68" s="66"/>
      <c r="GK68" s="66"/>
      <c r="GL68" s="66"/>
      <c r="GM68" s="66"/>
      <c r="GN68" s="62"/>
      <c r="GO68" s="78" t="s">
        <v>145</v>
      </c>
      <c r="GP68" s="78" t="s">
        <v>146</v>
      </c>
      <c r="GQ68" s="78" t="s">
        <v>147</v>
      </c>
      <c r="GR68" s="62"/>
    </row>
    <row r="69" spans="1:200" s="83" customFormat="1" x14ac:dyDescent="0.35">
      <c r="A69" s="80"/>
      <c r="B69" s="76"/>
      <c r="C69" s="95"/>
      <c r="D69" s="76" t="s">
        <v>187</v>
      </c>
      <c r="E69" s="76">
        <v>3</v>
      </c>
      <c r="F69" s="76"/>
      <c r="G69" s="76"/>
      <c r="H69" s="76"/>
      <c r="I69" s="76"/>
      <c r="J69" s="76"/>
      <c r="K69" s="76"/>
      <c r="L69" s="76"/>
      <c r="M69" s="76"/>
      <c r="N69" s="76"/>
      <c r="O69" s="76"/>
      <c r="P69" s="76"/>
      <c r="Q69" s="24">
        <f>H24+K24+N24</f>
        <v>7751.5393258426975</v>
      </c>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24">
        <f>CH28</f>
        <v>352.89201877934272</v>
      </c>
      <c r="CI69" s="76"/>
      <c r="CJ69" s="76"/>
      <c r="CK69" s="24">
        <f>CK30</f>
        <v>2017.5117370892017</v>
      </c>
      <c r="CL69" s="76"/>
      <c r="CM69" s="76"/>
      <c r="CN69" s="24">
        <f>CN28</f>
        <v>544.29107981220659</v>
      </c>
      <c r="CO69" s="76"/>
      <c r="CP69" s="76"/>
      <c r="CQ69" s="76"/>
      <c r="CR69" s="76"/>
      <c r="CS69" s="113"/>
      <c r="CT69" s="24">
        <f>CK69+CN69</f>
        <v>2561.8028169014083</v>
      </c>
      <c r="CU69" s="113"/>
      <c r="CV69" s="114"/>
      <c r="CW69" s="76"/>
      <c r="CX69" s="76"/>
      <c r="CY69" s="76"/>
      <c r="CZ69" s="76"/>
      <c r="DA69" s="76"/>
      <c r="DB69" s="76"/>
      <c r="DC69" s="76"/>
      <c r="DD69" s="76"/>
      <c r="DE69" s="76"/>
      <c r="DF69" s="76"/>
      <c r="DG69" s="76"/>
      <c r="DH69" s="76"/>
      <c r="DI69" s="76"/>
      <c r="DJ69" s="76"/>
      <c r="DK69" s="76"/>
      <c r="DL69" s="76"/>
      <c r="DM69" s="76"/>
      <c r="DN69" s="76"/>
      <c r="DO69" s="24">
        <f>DO17+DL30</f>
        <v>3568.0572183629633</v>
      </c>
      <c r="DP69" s="76"/>
      <c r="DQ69" s="76"/>
      <c r="DR69" s="76"/>
      <c r="DS69" s="76"/>
      <c r="DT69" s="76"/>
      <c r="DU69" s="76"/>
      <c r="DV69" s="76"/>
      <c r="DW69" s="76"/>
      <c r="DX69" s="76"/>
      <c r="DY69" s="76"/>
      <c r="DZ69" s="76"/>
      <c r="EA69" s="24">
        <f>0</f>
        <v>0</v>
      </c>
      <c r="EB69" s="76"/>
      <c r="EC69" s="76"/>
      <c r="ED69" s="76"/>
      <c r="EE69" s="76"/>
      <c r="EF69" s="76"/>
      <c r="EG69" s="76"/>
      <c r="EH69" s="76"/>
      <c r="EI69" s="76"/>
      <c r="EJ69" s="76"/>
      <c r="EK69" s="76"/>
      <c r="EL69" s="76"/>
      <c r="EM69" s="76"/>
      <c r="EN69" s="76"/>
      <c r="EO69" s="76"/>
      <c r="EP69" s="76"/>
      <c r="EQ69" s="76"/>
      <c r="ER69" s="76"/>
      <c r="ES69" s="24">
        <f>EM17+ED17</f>
        <v>1991.8488709511573</v>
      </c>
      <c r="ET69" s="76"/>
      <c r="EU69" s="76"/>
      <c r="EV69" s="24">
        <f>EV21</f>
        <v>0</v>
      </c>
      <c r="EW69" s="76"/>
      <c r="EX69" s="76"/>
      <c r="EY69" s="76"/>
      <c r="EZ69" s="76"/>
      <c r="FA69" s="76"/>
      <c r="FB69" s="24">
        <f>FB17</f>
        <v>365.05777036334916</v>
      </c>
      <c r="FC69" s="76"/>
      <c r="FD69" s="113"/>
      <c r="FE69" s="24">
        <f>EV69+FB69</f>
        <v>365.05777036334916</v>
      </c>
      <c r="FF69" s="113"/>
      <c r="FG69" s="114"/>
      <c r="FH69" s="76"/>
      <c r="FI69" s="76"/>
      <c r="FJ69" s="76"/>
      <c r="FK69" s="24">
        <f>FK30</f>
        <v>3772.8888888888882</v>
      </c>
      <c r="FL69" s="76"/>
      <c r="FM69" s="76"/>
      <c r="FN69" s="24">
        <f>FN28</f>
        <v>14944.079812206572</v>
      </c>
      <c r="FO69" s="76"/>
      <c r="FP69" s="76"/>
      <c r="FQ69" s="24">
        <f>FQ30</f>
        <v>1794.3661971830986</v>
      </c>
      <c r="FR69" s="76"/>
      <c r="FS69" s="113"/>
      <c r="FT69" s="24">
        <f>FK69+FN69+FQ69</f>
        <v>20511.334898278557</v>
      </c>
      <c r="FU69" s="113"/>
      <c r="FV69" s="114"/>
      <c r="FW69" s="24">
        <f>0</f>
        <v>0</v>
      </c>
      <c r="FX69" s="76"/>
      <c r="FY69" s="76"/>
      <c r="FZ69" s="24">
        <f>FZ21+GC21+GF21+GI21</f>
        <v>17711.2</v>
      </c>
      <c r="GA69" s="76"/>
      <c r="GB69" s="76"/>
      <c r="GC69" s="114"/>
      <c r="GD69" s="76"/>
      <c r="GE69" s="76"/>
      <c r="GF69" s="76"/>
      <c r="GG69" s="76"/>
      <c r="GH69" s="76"/>
      <c r="GI69" s="76"/>
      <c r="GJ69" s="76"/>
      <c r="GK69" s="113"/>
      <c r="GL69" s="24">
        <f>FW69+FZ69</f>
        <v>17711.2</v>
      </c>
      <c r="GM69" s="113"/>
      <c r="GN69" s="62"/>
      <c r="GO69" s="24">
        <f>Q69+CH69+CK69+CN69</f>
        <v>10666.234161523449</v>
      </c>
      <c r="GP69" s="24">
        <f>DO69+EA69+ES69+EV69+FB69+FK69+FN69+FQ69+FW69+FZ69</f>
        <v>44147.498757956026</v>
      </c>
      <c r="GQ69" s="24">
        <f>GO69+GP69</f>
        <v>54813.732919479473</v>
      </c>
      <c r="GR69" s="62"/>
    </row>
    <row r="70" spans="1:200" s="83" customFormat="1" x14ac:dyDescent="0.35">
      <c r="A70" s="80"/>
      <c r="B70" s="76"/>
      <c r="C70" s="95"/>
      <c r="D70" s="76" t="s">
        <v>188</v>
      </c>
      <c r="E70" s="76">
        <v>3</v>
      </c>
      <c r="F70" s="76"/>
      <c r="G70" s="76"/>
      <c r="H70" s="76"/>
      <c r="I70" s="76"/>
      <c r="J70" s="76"/>
      <c r="K70" s="76"/>
      <c r="L70" s="76"/>
      <c r="M70" s="76"/>
      <c r="N70" s="76"/>
      <c r="O70" s="76"/>
      <c r="P70" s="76"/>
      <c r="Q70" s="24">
        <f>H24+K24+N24</f>
        <v>7751.5393258426975</v>
      </c>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24">
        <f>CH28</f>
        <v>352.89201877934272</v>
      </c>
      <c r="CI70" s="76"/>
      <c r="CJ70" s="76"/>
      <c r="CK70" s="24">
        <f>CK30</f>
        <v>2017.5117370892017</v>
      </c>
      <c r="CL70" s="76"/>
      <c r="CM70" s="76"/>
      <c r="CN70" s="24">
        <f>CN28</f>
        <v>544.29107981220659</v>
      </c>
      <c r="CO70" s="76"/>
      <c r="CP70" s="76"/>
      <c r="CQ70" s="76"/>
      <c r="CR70" s="76"/>
      <c r="CS70" s="113"/>
      <c r="CT70" s="24">
        <f>CK70+CN70</f>
        <v>2561.8028169014083</v>
      </c>
      <c r="CU70" s="113"/>
      <c r="CV70" s="114"/>
      <c r="CW70" s="76"/>
      <c r="CX70" s="76"/>
      <c r="CY70" s="76"/>
      <c r="CZ70" s="76"/>
      <c r="DA70" s="76"/>
      <c r="DB70" s="76"/>
      <c r="DC70" s="76"/>
      <c r="DD70" s="76"/>
      <c r="DE70" s="76"/>
      <c r="DF70" s="76"/>
      <c r="DG70" s="76"/>
      <c r="DH70" s="76"/>
      <c r="DI70" s="76"/>
      <c r="DJ70" s="76"/>
      <c r="DK70" s="76"/>
      <c r="DL70" s="76"/>
      <c r="DM70" s="76"/>
      <c r="DN70" s="76"/>
      <c r="DO70" s="24">
        <f>DO17+DL30</f>
        <v>3568.0572183629633</v>
      </c>
      <c r="DP70" s="76"/>
      <c r="DQ70" s="76"/>
      <c r="DR70" s="76"/>
      <c r="DS70" s="76"/>
      <c r="DT70" s="76"/>
      <c r="DU70" s="76"/>
      <c r="DV70" s="76"/>
      <c r="DW70" s="76"/>
      <c r="DX70" s="76"/>
      <c r="DY70" s="76"/>
      <c r="DZ70" s="76"/>
      <c r="EA70" s="24">
        <f>0</f>
        <v>0</v>
      </c>
      <c r="EB70" s="76"/>
      <c r="EC70" s="76"/>
      <c r="ED70" s="76"/>
      <c r="EE70" s="76"/>
      <c r="EF70" s="76"/>
      <c r="EG70" s="76"/>
      <c r="EH70" s="76"/>
      <c r="EI70" s="76"/>
      <c r="EJ70" s="76"/>
      <c r="EK70" s="76"/>
      <c r="EL70" s="76"/>
      <c r="EM70" s="76"/>
      <c r="EN70" s="76"/>
      <c r="EO70" s="76"/>
      <c r="EP70" s="76"/>
      <c r="EQ70" s="76"/>
      <c r="ER70" s="76"/>
      <c r="ES70" s="24">
        <f>EM17+ED17</f>
        <v>1991.8488709511573</v>
      </c>
      <c r="ET70" s="76"/>
      <c r="EU70" s="76"/>
      <c r="EV70" s="24">
        <f>EV19</f>
        <v>8235.7080000000005</v>
      </c>
      <c r="EW70" s="76"/>
      <c r="EX70" s="76"/>
      <c r="EY70" s="76"/>
      <c r="EZ70" s="76"/>
      <c r="FA70" s="76"/>
      <c r="FB70" s="24">
        <f>0</f>
        <v>0</v>
      </c>
      <c r="FC70" s="76"/>
      <c r="FD70" s="113"/>
      <c r="FE70" s="24">
        <f>EV70+FB70</f>
        <v>8235.7080000000005</v>
      </c>
      <c r="FF70" s="113"/>
      <c r="FG70" s="114"/>
      <c r="FH70" s="76"/>
      <c r="FI70" s="76"/>
      <c r="FJ70" s="76"/>
      <c r="FK70" s="24">
        <f>FK30</f>
        <v>3772.8888888888882</v>
      </c>
      <c r="FL70" s="76"/>
      <c r="FM70" s="76"/>
      <c r="FN70" s="24">
        <f>FN28</f>
        <v>14944.079812206572</v>
      </c>
      <c r="FO70" s="76"/>
      <c r="FP70" s="76"/>
      <c r="FQ70" s="24">
        <f>FQ30</f>
        <v>1794.3661971830986</v>
      </c>
      <c r="FR70" s="76"/>
      <c r="FS70" s="113"/>
      <c r="FT70" s="24">
        <f>FK70+FN70+FQ70</f>
        <v>20511.334898278557</v>
      </c>
      <c r="FU70" s="113"/>
      <c r="FV70" s="114"/>
      <c r="FW70" s="24">
        <f>FW14</f>
        <v>30234.211886161549</v>
      </c>
      <c r="FX70" s="76"/>
      <c r="FY70" s="76"/>
      <c r="FZ70" s="24">
        <f>FZ19+GC19+GF19+GI19</f>
        <v>32322.940000000002</v>
      </c>
      <c r="GA70" s="76"/>
      <c r="GB70" s="76"/>
      <c r="GC70" s="114"/>
      <c r="GD70" s="76"/>
      <c r="GE70" s="76"/>
      <c r="GF70" s="76"/>
      <c r="GG70" s="76"/>
      <c r="GH70" s="76"/>
      <c r="GI70" s="76"/>
      <c r="GJ70" s="76"/>
      <c r="GK70" s="113"/>
      <c r="GL70" s="24">
        <f>FW70+FZ70</f>
        <v>62557.151886161548</v>
      </c>
      <c r="GM70" s="113"/>
      <c r="GN70" s="62"/>
      <c r="GO70" s="24">
        <f>Q70+CH70+CK70+CN70</f>
        <v>10666.234161523449</v>
      </c>
      <c r="GP70" s="24">
        <f>DO70+EA70+ES70+EV70+FB70+FK70+FN70+FQ70+FW70+FZ70</f>
        <v>96864.100873754229</v>
      </c>
      <c r="GQ70" s="24">
        <f>GO70+GP70</f>
        <v>107530.33503527768</v>
      </c>
      <c r="GR70" s="62"/>
    </row>
    <row r="71" spans="1:200" s="83" customFormat="1" x14ac:dyDescent="0.35">
      <c r="A71" s="80"/>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row>
    <row r="72" spans="1:200" x14ac:dyDescent="0.3">
      <c r="A72" s="80"/>
      <c r="B72" s="55"/>
      <c r="C72" s="55"/>
      <c r="D72" s="55"/>
      <c r="E72" s="66"/>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9"/>
      <c r="GO72" s="55"/>
      <c r="GP72" s="55"/>
      <c r="GQ72" s="55"/>
      <c r="GR72" s="59"/>
    </row>
    <row r="73" spans="1:200" x14ac:dyDescent="0.3">
      <c r="A73" s="80"/>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c r="FG73" s="59"/>
      <c r="FH73" s="59"/>
      <c r="FI73" s="59"/>
      <c r="FJ73" s="59"/>
      <c r="FK73" s="59"/>
      <c r="FL73" s="59"/>
      <c r="FM73" s="59"/>
      <c r="FN73" s="59"/>
      <c r="FO73" s="59"/>
      <c r="FP73" s="59"/>
      <c r="FQ73" s="59"/>
      <c r="FR73" s="59"/>
      <c r="FS73" s="59"/>
      <c r="FT73" s="59"/>
      <c r="FU73" s="59"/>
      <c r="FV73" s="59"/>
      <c r="FW73" s="59"/>
      <c r="FX73" s="59"/>
      <c r="FY73" s="59"/>
      <c r="FZ73" s="59"/>
      <c r="GA73" s="59"/>
      <c r="GB73" s="59"/>
      <c r="GC73" s="59"/>
      <c r="GD73" s="59"/>
      <c r="GE73" s="59"/>
      <c r="GF73" s="59"/>
      <c r="GG73" s="59"/>
      <c r="GH73" s="59"/>
      <c r="GI73" s="59"/>
      <c r="GJ73" s="59"/>
      <c r="GK73" s="59"/>
      <c r="GL73" s="59"/>
      <c r="GM73" s="59"/>
      <c r="GN73" s="59"/>
      <c r="GO73" s="59"/>
      <c r="GP73" s="59"/>
      <c r="GQ73" s="59"/>
      <c r="GR73" s="59"/>
    </row>
  </sheetData>
  <autoFilter ref="E5:E73"/>
  <mergeCells count="12">
    <mergeCell ref="B6:B7"/>
    <mergeCell ref="F6:F7"/>
    <mergeCell ref="B19:B22"/>
    <mergeCell ref="F19:F22"/>
    <mergeCell ref="F11:F12"/>
    <mergeCell ref="B11:B12"/>
    <mergeCell ref="B14:B15"/>
    <mergeCell ref="F14:F15"/>
    <mergeCell ref="C6:C7"/>
    <mergeCell ref="C11:C12"/>
    <mergeCell ref="C14:C15"/>
    <mergeCell ref="C19:C2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B1" workbookViewId="0">
      <pane xSplit="2" ySplit="3" topLeftCell="D4" activePane="bottomRight" state="frozen"/>
      <selection activeCell="B1" sqref="B1"/>
      <selection pane="topRight" activeCell="D1" sqref="D1"/>
      <selection pane="bottomLeft" activeCell="B4" sqref="B4"/>
      <selection pane="bottomRight" activeCell="C27" sqref="C27"/>
    </sheetView>
  </sheetViews>
  <sheetFormatPr defaultRowHeight="14" x14ac:dyDescent="0.3"/>
  <cols>
    <col min="1" max="1" width="1.6328125" style="82" customWidth="1"/>
    <col min="2" max="2" width="30.1796875" style="82" customWidth="1"/>
    <col min="3" max="6" width="20.6328125" style="82" customWidth="1"/>
    <col min="7" max="13" width="23.36328125" style="82" customWidth="1"/>
    <col min="14" max="15" width="20.6328125" style="82" customWidth="1"/>
    <col min="16" max="16384" width="8.7265625" style="82"/>
  </cols>
  <sheetData>
    <row r="1" spans="1:16" ht="20" x14ac:dyDescent="0.4">
      <c r="A1" s="55"/>
      <c r="B1" s="53" t="s">
        <v>254</v>
      </c>
      <c r="C1" s="55"/>
      <c r="D1" s="55"/>
      <c r="E1" s="55"/>
      <c r="F1" s="55"/>
      <c r="G1" s="55"/>
      <c r="H1" s="55"/>
      <c r="I1" s="55"/>
      <c r="J1" s="55"/>
      <c r="K1" s="55"/>
      <c r="L1" s="55"/>
      <c r="M1" s="55"/>
      <c r="N1" s="55"/>
      <c r="O1" s="55"/>
      <c r="P1" s="55"/>
    </row>
    <row r="2" spans="1:16" x14ac:dyDescent="0.3">
      <c r="A2" s="55"/>
      <c r="B2" s="1"/>
      <c r="C2" s="1"/>
      <c r="D2" s="1"/>
      <c r="E2" s="1"/>
      <c r="F2" s="1"/>
      <c r="G2" s="1"/>
      <c r="H2" s="1"/>
      <c r="I2" s="1"/>
      <c r="J2" s="1"/>
      <c r="K2" s="1"/>
      <c r="L2" s="1"/>
      <c r="M2" s="1"/>
      <c r="N2" s="1"/>
      <c r="O2" s="1"/>
      <c r="P2" s="55"/>
    </row>
    <row r="3" spans="1:16" s="128" customFormat="1" ht="28" x14ac:dyDescent="0.35">
      <c r="A3" s="81"/>
      <c r="B3" s="127" t="s">
        <v>22</v>
      </c>
      <c r="C3" s="127" t="s">
        <v>258</v>
      </c>
      <c r="D3" s="127" t="s">
        <v>280</v>
      </c>
      <c r="E3" s="127" t="s">
        <v>64</v>
      </c>
      <c r="F3" s="127" t="s">
        <v>281</v>
      </c>
      <c r="G3" s="127" t="s">
        <v>255</v>
      </c>
      <c r="H3" s="127" t="s">
        <v>282</v>
      </c>
      <c r="I3" s="127" t="s">
        <v>60</v>
      </c>
      <c r="J3" s="127" t="s">
        <v>283</v>
      </c>
      <c r="K3" s="127" t="s">
        <v>85</v>
      </c>
      <c r="L3" s="127" t="s">
        <v>82</v>
      </c>
      <c r="M3" s="127" t="s">
        <v>84</v>
      </c>
      <c r="N3" s="127" t="s">
        <v>256</v>
      </c>
      <c r="O3" s="127" t="s">
        <v>257</v>
      </c>
      <c r="P3" s="81"/>
    </row>
    <row r="4" spans="1:16" s="83" customFormat="1" x14ac:dyDescent="0.35">
      <c r="A4" s="66"/>
      <c r="B4" s="135" t="s">
        <v>274</v>
      </c>
      <c r="C4" s="115" t="s">
        <v>259</v>
      </c>
      <c r="D4" s="123">
        <f>AVERAGE(Physical_Disability_Data!Q36,Physical_Disability_Data!Q40,Physical_Disability_Data!Q44)</f>
        <v>16118.057527881829</v>
      </c>
      <c r="E4" s="123">
        <f>AVERAGE(Physical_Disability_Data!CH36,Physical_Disability_Data!CH40,Physical_Disability_Data!CH44)</f>
        <v>5983.7746616541363</v>
      </c>
      <c r="F4" s="123">
        <f>AVERAGE(Physical_Disability_Data!CT36,Physical_Disability_Data!CT40,Physical_Disability_Data!CT44)</f>
        <v>28296.221716897795</v>
      </c>
      <c r="G4" s="123">
        <f>AVERAGE(Physical_Disability_Data!GO36,Physical_Disability_Data!GO40,Physical_Disability_Data!GO44)</f>
        <v>50398.05390643375</v>
      </c>
      <c r="H4" s="123">
        <f>AVERAGE(Physical_Disability_Data!DO36,Physical_Disability_Data!DO40,Physical_Disability_Data!DO44)</f>
        <v>0</v>
      </c>
      <c r="I4" s="123">
        <f>AVERAGE(Physical_Disability_Data!EA36,Physical_Disability_Data!EA40,Physical_Disability_Data!EA44)</f>
        <v>12417.810112781955</v>
      </c>
      <c r="J4" s="123">
        <f>AVERAGE(Physical_Disability_Data!ES36,Physical_Disability_Data!ES40,Physical_Disability_Data!ES44)</f>
        <v>0</v>
      </c>
      <c r="K4" s="123">
        <f>AVERAGE(Physical_Disability_Data!FE36,Physical_Disability_Data!FE40,Physical_Disability_Data!FE44)</f>
        <v>12219.814941668936</v>
      </c>
      <c r="L4" s="123">
        <f>AVERAGE(Physical_Disability_Data!FT36,Physical_Disability_Data!FT40,Physical_Disability_Data!FT44)</f>
        <v>64285.962456545552</v>
      </c>
      <c r="M4" s="123">
        <f>AVERAGE(Physical_Disability_Data!GL36,Physical_Disability_Data!GL40,Physical_Disability_Data!GL44)</f>
        <v>24987.501076461995</v>
      </c>
      <c r="N4" s="123">
        <f>AVERAGE(Physical_Disability_Data!GP36,Physical_Disability_Data!GP40,Physical_Disability_Data!GP44)</f>
        <v>113911.08858745843</v>
      </c>
      <c r="O4" s="123">
        <f>AVERAGE(Physical_Disability_Data!GQ36,Physical_Disability_Data!GQ40,Physical_Disability_Data!GQ44)</f>
        <v>164309.1424938922</v>
      </c>
      <c r="P4" s="66"/>
    </row>
    <row r="5" spans="1:16" s="83" customFormat="1" ht="14.5" x14ac:dyDescent="0.35">
      <c r="A5" s="66"/>
      <c r="B5" s="135"/>
      <c r="C5" s="129" t="s">
        <v>260</v>
      </c>
      <c r="D5" s="126">
        <f>Physical_Disability_Data!Q36</f>
        <v>0</v>
      </c>
      <c r="E5" s="126">
        <f>Physical_Disability_Data!CH36</f>
        <v>5983.7746616541353</v>
      </c>
      <c r="F5" s="126">
        <f>Physical_Disability_Data!CT36</f>
        <v>25310.219436090225</v>
      </c>
      <c r="G5" s="126">
        <f>Physical_Disability_Data!GO36</f>
        <v>31293.994097744362</v>
      </c>
      <c r="H5" s="126">
        <f>Physical_Disability_Data!DO36</f>
        <v>0</v>
      </c>
      <c r="I5" s="126">
        <f>Physical_Disability_Data!EA36</f>
        <v>1178.6749624060158</v>
      </c>
      <c r="J5" s="126">
        <f>Physical_Disability_Data!ES36</f>
        <v>0</v>
      </c>
      <c r="K5" s="126">
        <f>Physical_Disability_Data!FE36</f>
        <v>12219.814941668938</v>
      </c>
      <c r="L5" s="126">
        <f>Physical_Disability_Data!FT36</f>
        <v>10600.513958011954</v>
      </c>
      <c r="M5" s="126">
        <f>Physical_Disability_Data!GL36</f>
        <v>24987.501076461995</v>
      </c>
      <c r="N5" s="126">
        <f>Physical_Disability_Data!GP36</f>
        <v>48986.504938548904</v>
      </c>
      <c r="O5" s="126">
        <f>Physical_Disability_Data!GQ36</f>
        <v>80280.499036293273</v>
      </c>
      <c r="P5" s="66"/>
    </row>
    <row r="6" spans="1:16" s="83" customFormat="1" ht="14.5" x14ac:dyDescent="0.35">
      <c r="A6" s="66"/>
      <c r="B6" s="135"/>
      <c r="C6" s="129" t="s">
        <v>261</v>
      </c>
      <c r="D6" s="126">
        <f>Physical_Disability_Data!Q44</f>
        <v>31141.009736842108</v>
      </c>
      <c r="E6" s="126">
        <f>Physical_Disability_Data!CH44</f>
        <v>5983.7746616541353</v>
      </c>
      <c r="F6" s="126">
        <f>Physical_Disability_Data!CT44</f>
        <v>31387.870864661654</v>
      </c>
      <c r="G6" s="126">
        <f>Physical_Disability_Data!GO44</f>
        <v>68512.655263157896</v>
      </c>
      <c r="H6" s="126">
        <f>Physical_Disability_Data!DO44</f>
        <v>0</v>
      </c>
      <c r="I6" s="126">
        <f>Physical_Disability_Data!EA44</f>
        <v>23656.945263157897</v>
      </c>
      <c r="J6" s="126">
        <f>Physical_Disability_Data!ES44</f>
        <v>0</v>
      </c>
      <c r="K6" s="126">
        <f>Physical_Disability_Data!FE44</f>
        <v>12219.814941668938</v>
      </c>
      <c r="L6" s="126">
        <f>Physical_Disability_Data!FT44</f>
        <v>117971.41095507915</v>
      </c>
      <c r="M6" s="126">
        <f>Physical_Disability_Data!GL44</f>
        <v>24987.501076461995</v>
      </c>
      <c r="N6" s="126">
        <f>Physical_Disability_Data!GP44</f>
        <v>178835.67223636794</v>
      </c>
      <c r="O6" s="126">
        <f>Physical_Disability_Data!GQ44</f>
        <v>247348.32749952585</v>
      </c>
      <c r="P6" s="66"/>
    </row>
    <row r="7" spans="1:16" s="83" customFormat="1" x14ac:dyDescent="0.35">
      <c r="A7" s="66"/>
      <c r="B7" s="135" t="s">
        <v>275</v>
      </c>
      <c r="C7" s="115" t="s">
        <v>259</v>
      </c>
      <c r="D7" s="123">
        <f>AVERAGE(Physical_Disability_Data!Q35,Physical_Disability_Data!Q39,Physical_Disability_Data!Q43)</f>
        <v>775849.75556390977</v>
      </c>
      <c r="E7" s="123">
        <f>AVERAGE(Physical_Disability_Data!CH35,Physical_Disability_Data!CH39,Physical_Disability_Data!CH43)</f>
        <v>10548.967067669173</v>
      </c>
      <c r="F7" s="123">
        <f>AVERAGE(Physical_Disability_Data!CT35,Physical_Disability_Data!CT39,Physical_Disability_Data!CT43)</f>
        <v>17374.155714285716</v>
      </c>
      <c r="G7" s="123">
        <f>AVERAGE(Physical_Disability_Data!GO35,Physical_Disability_Data!GO39,Physical_Disability_Data!GO43)</f>
        <v>803772.87834586471</v>
      </c>
      <c r="H7" s="123">
        <f>AVERAGE(Physical_Disability_Data!DO35,Physical_Disability_Data!DO39,Physical_Disability_Data!DO43)</f>
        <v>0</v>
      </c>
      <c r="I7" s="123">
        <f>AVERAGE(Physical_Disability_Data!EA35,Physical_Disability_Data!EA39,Physical_Disability_Data!EA43)</f>
        <v>7794.6690852130332</v>
      </c>
      <c r="J7" s="123">
        <f>AVERAGE(Physical_Disability_Data!ES35,Physical_Disability_Data!ES39,Physical_Disability_Data!ES43)</f>
        <v>0</v>
      </c>
      <c r="K7" s="123">
        <f>AVERAGE(Physical_Disability_Data!FE35,Physical_Disability_Data!FE39,Physical_Disability_Data!FE43)</f>
        <v>12219.814941668936</v>
      </c>
      <c r="L7" s="123">
        <f>AVERAGE(Physical_Disability_Data!FT35,Physical_Disability_Data!FT39,Physical_Disability_Data!FT43)</f>
        <v>49686.165545696938</v>
      </c>
      <c r="M7" s="123">
        <f>AVERAGE(Physical_Disability_Data!GL35,Physical_Disability_Data!GL39,Physical_Disability_Data!GL43)</f>
        <v>30234.211886161549</v>
      </c>
      <c r="N7" s="123">
        <f>AVERAGE(Physical_Disability_Data!GP35,Physical_Disability_Data!GP39,Physical_Disability_Data!GP43)</f>
        <v>99934.861458740445</v>
      </c>
      <c r="O7" s="123">
        <f>AVERAGE(Physical_Disability_Data!GQ35,Physical_Disability_Data!GQ39,Physical_Disability_Data!GQ43)</f>
        <v>903707.73980460537</v>
      </c>
      <c r="P7" s="66"/>
    </row>
    <row r="8" spans="1:16" s="83" customFormat="1" ht="14.5" x14ac:dyDescent="0.35">
      <c r="A8" s="66"/>
      <c r="B8" s="135"/>
      <c r="C8" s="129" t="s">
        <v>260</v>
      </c>
      <c r="D8" s="126">
        <f>Physical_Disability_Data!Q35</f>
        <v>627515.77154135355</v>
      </c>
      <c r="E8" s="126">
        <f>Physical_Disability_Data!CH35</f>
        <v>10548.967067669173</v>
      </c>
      <c r="F8" s="126">
        <f>Physical_Disability_Data!CT35</f>
        <v>8841.8006766917297</v>
      </c>
      <c r="G8" s="126">
        <f>Physical_Disability_Data!GO35</f>
        <v>646906.53928571439</v>
      </c>
      <c r="H8" s="126">
        <f>Physical_Disability_Data!DO36</f>
        <v>0</v>
      </c>
      <c r="I8" s="126">
        <f>Physical_Disability_Data!EA35</f>
        <v>0</v>
      </c>
      <c r="J8" s="126">
        <f>Physical_Disability_Data!ES35</f>
        <v>0</v>
      </c>
      <c r="K8" s="126">
        <f>Physical_Disability_Data!FE35</f>
        <v>12219.814941668938</v>
      </c>
      <c r="L8" s="126">
        <f>Physical_Disability_Data!FT35</f>
        <v>7693.4227486168256</v>
      </c>
      <c r="M8" s="126">
        <f>Physical_Disability_Data!GL35</f>
        <v>30234.211886161549</v>
      </c>
      <c r="N8" s="126">
        <f>Physical_Disability_Data!GP35</f>
        <v>50147.44957644731</v>
      </c>
      <c r="O8" s="126">
        <f>Physical_Disability_Data!GQ35</f>
        <v>697053.98886216176</v>
      </c>
      <c r="P8" s="66"/>
    </row>
    <row r="9" spans="1:16" s="83" customFormat="1" ht="14.5" x14ac:dyDescent="0.35">
      <c r="A9" s="66"/>
      <c r="B9" s="135"/>
      <c r="C9" s="129" t="s">
        <v>261</v>
      </c>
      <c r="D9" s="126">
        <f>Physical_Disability_Data!Q43</f>
        <v>924183.73958646622</v>
      </c>
      <c r="E9" s="126">
        <f>Physical_Disability_Data!CH43</f>
        <v>10548.967067669173</v>
      </c>
      <c r="F9" s="126">
        <f>Physical_Disability_Data!CT43</f>
        <v>26000.387518796993</v>
      </c>
      <c r="G9" s="126">
        <f>Physical_Disability_Data!GO43</f>
        <v>960733.09417293232</v>
      </c>
      <c r="H9" s="126">
        <f>Physical_Disability_Data!DO43</f>
        <v>0</v>
      </c>
      <c r="I9" s="126">
        <f>Physical_Disability_Data!EA43</f>
        <v>16725.710639097746</v>
      </c>
      <c r="J9" s="126">
        <f>Physical_Disability_Data!ES43</f>
        <v>0</v>
      </c>
      <c r="K9" s="126">
        <f>Physical_Disability_Data!FE43</f>
        <v>12219.814941668938</v>
      </c>
      <c r="L9" s="126">
        <f>Physical_Disability_Data!FT43</f>
        <v>94487.856578071165</v>
      </c>
      <c r="M9" s="126">
        <f>Physical_Disability_Data!GL43</f>
        <v>30234.211886161549</v>
      </c>
      <c r="N9" s="126">
        <f>Physical_Disability_Data!GP43</f>
        <v>153667.59404499939</v>
      </c>
      <c r="O9" s="126">
        <f>Physical_Disability_Data!GQ43</f>
        <v>1114400.6882179317</v>
      </c>
      <c r="P9" s="66"/>
    </row>
    <row r="10" spans="1:16" s="83" customFormat="1" x14ac:dyDescent="0.35">
      <c r="A10" s="66"/>
      <c r="B10" s="66"/>
      <c r="C10" s="66"/>
      <c r="D10" s="125"/>
      <c r="E10" s="125"/>
      <c r="F10" s="125"/>
      <c r="G10" s="125"/>
      <c r="H10" s="125"/>
      <c r="I10" s="125"/>
      <c r="J10" s="125"/>
      <c r="K10" s="125"/>
      <c r="L10" s="125"/>
      <c r="M10" s="125"/>
      <c r="N10" s="125"/>
      <c r="O10" s="125"/>
      <c r="P10" s="66"/>
    </row>
    <row r="11" spans="1:16" s="83" customFormat="1" x14ac:dyDescent="0.35">
      <c r="A11" s="66"/>
      <c r="B11" s="135" t="s">
        <v>276</v>
      </c>
      <c r="C11" s="115" t="s">
        <v>259</v>
      </c>
      <c r="D11" s="123">
        <f>AVERAGE(Physical_Disability_Data!Q48,Physical_Disability_Data!Q52,Physical_Disability_Data!Q56)</f>
        <v>164.22803213367612</v>
      </c>
      <c r="E11" s="123">
        <f>AVERAGE(Physical_Disability_Data!CH48,Physical_Disability_Data!CH52,Physical_Disability_Data!CH56)</f>
        <v>1913.954974421594</v>
      </c>
      <c r="F11" s="123">
        <f>AVERAGE(Physical_Disability_Data!CT48,Physical_Disability_Data!CT52,Physical_Disability_Data!CT56)</f>
        <v>1681.9893196884175</v>
      </c>
      <c r="G11" s="123">
        <f>AVERAGE(Physical_Disability_Data!GO48,Physical_Disability_Data!GO52,Physical_Disability_Data!GO56)</f>
        <v>3760.1723262436876</v>
      </c>
      <c r="H11" s="123">
        <f>AVERAGE(Physical_Disability_Data!DO48,Physical_Disability_Data!DO52,Physical_Disability_Data!DO56)</f>
        <v>2954.5986894114762</v>
      </c>
      <c r="I11" s="123">
        <f>AVERAGE(Physical_Disability_Data!EA48,Physical_Disability_Data!EA52,Physical_Disability_Data!EA56)</f>
        <v>0</v>
      </c>
      <c r="J11" s="123">
        <f>AVERAGE(Physical_Disability_Data!ES48,Physical_Disability_Data!ES52,Physical_Disability_Data!ES56)</f>
        <v>888.8641634961441</v>
      </c>
      <c r="K11" s="123">
        <f>AVERAGE(Physical_Disability_Data!FE48,Physical_Disability_Data!FE52,Physical_Disability_Data!FE56)</f>
        <v>365.05777036334916</v>
      </c>
      <c r="L11" s="123">
        <f>AVERAGE(Physical_Disability_Data!FT48,Physical_Disability_Data!FT52,Physical_Disability_Data!FT56)</f>
        <v>12813.678059467917</v>
      </c>
      <c r="M11" s="123">
        <f>AVERAGE(Physical_Disability_Data!GL48,Physical_Disability_Data!GL52,Physical_Disability_Data!GL56)</f>
        <v>14493.665333333332</v>
      </c>
      <c r="N11" s="123">
        <f>AVERAGE(Physical_Disability_Data!GP48,Physical_Disability_Data!GP52,Physical_Disability_Data!GP56)</f>
        <v>31515.864016072224</v>
      </c>
      <c r="O11" s="123">
        <f>AVERAGE(Physical_Disability_Data!GQ48,Physical_Disability_Data!GQ52,Physical_Disability_Data!GQ56)</f>
        <v>35276.036342315907</v>
      </c>
      <c r="P11" s="66"/>
    </row>
    <row r="12" spans="1:16" s="83" customFormat="1" ht="14.5" x14ac:dyDescent="0.35">
      <c r="A12" s="66"/>
      <c r="B12" s="135"/>
      <c r="C12" s="129" t="s">
        <v>260</v>
      </c>
      <c r="D12" s="126">
        <f>Physical_Disability_Data!Q48</f>
        <v>164.22803213367612</v>
      </c>
      <c r="E12" s="126">
        <f>Physical_Disability_Data!CH48</f>
        <v>577.86512892030862</v>
      </c>
      <c r="F12" s="126">
        <f>Physical_Disability_Data!CT48</f>
        <v>638.61032863849755</v>
      </c>
      <c r="G12" s="126">
        <f>Physical_Disability_Data!GO48</f>
        <v>1380.7034896924824</v>
      </c>
      <c r="H12" s="126">
        <f>Physical_Disability_Data!DO48</f>
        <v>2647.8694249357332</v>
      </c>
      <c r="I12" s="126">
        <f>Physical_Disability_Data!EA48</f>
        <v>0</v>
      </c>
      <c r="J12" s="126">
        <f>Physical_Disability_Data!ES48</f>
        <v>0</v>
      </c>
      <c r="K12" s="126">
        <f>Physical_Disability_Data!FE48</f>
        <v>365.05777036334916</v>
      </c>
      <c r="L12" s="126">
        <f>Physical_Disability_Data!FT48</f>
        <v>0</v>
      </c>
      <c r="M12" s="126">
        <f>Physical_Disability_Data!GL48</f>
        <v>10980.944000000001</v>
      </c>
      <c r="N12" s="126">
        <f>Physical_Disability_Data!GP48</f>
        <v>13993.871195299083</v>
      </c>
      <c r="O12" s="126">
        <f>Physical_Disability_Data!GQ48</f>
        <v>15374.574684991567</v>
      </c>
      <c r="P12" s="66"/>
    </row>
    <row r="13" spans="1:16" s="83" customFormat="1" ht="14.5" x14ac:dyDescent="0.35">
      <c r="A13" s="66"/>
      <c r="B13" s="135"/>
      <c r="C13" s="129" t="s">
        <v>261</v>
      </c>
      <c r="D13" s="126">
        <f>Physical_Disability_Data!Q56</f>
        <v>164.22803213367612</v>
      </c>
      <c r="E13" s="126">
        <f>Physical_Disability_Data!CH56</f>
        <v>2845.9059640102832</v>
      </c>
      <c r="F13" s="126">
        <f>Physical_Disability_Data!CT56</f>
        <v>2561.8028169014083</v>
      </c>
      <c r="G13" s="126">
        <f>Physical_Disability_Data!GO56</f>
        <v>5571.9368130453677</v>
      </c>
      <c r="H13" s="126">
        <f>Physical_Disability_Data!DO56</f>
        <v>3568.0572183629633</v>
      </c>
      <c r="I13" s="126">
        <f>Physical_Disability_Data!EA56</f>
        <v>0</v>
      </c>
      <c r="J13" s="126">
        <f>Physical_Disability_Data!ES56</f>
        <v>1991.8488709511573</v>
      </c>
      <c r="K13" s="126">
        <f>Physical_Disability_Data!FE56</f>
        <v>365.05777036334916</v>
      </c>
      <c r="L13" s="126">
        <f>Physical_Disability_Data!FT56</f>
        <v>20511.334898278557</v>
      </c>
      <c r="M13" s="126">
        <f>Physical_Disability_Data!GL56</f>
        <v>17711.2</v>
      </c>
      <c r="N13" s="126">
        <f>Physical_Disability_Data!GP56</f>
        <v>44147.498757956026</v>
      </c>
      <c r="O13" s="126">
        <f>Physical_Disability_Data!GQ56</f>
        <v>49719.435571001392</v>
      </c>
      <c r="P13" s="66"/>
    </row>
    <row r="14" spans="1:16" s="83" customFormat="1" x14ac:dyDescent="0.35">
      <c r="A14" s="66"/>
      <c r="B14" s="135" t="s">
        <v>277</v>
      </c>
      <c r="C14" s="115" t="s">
        <v>259</v>
      </c>
      <c r="D14" s="123">
        <f>AVERAGE(Physical_Disability_Data!Q49,Physical_Disability_Data!Q53,Physical_Disability_Data!Q57)</f>
        <v>164.22803213367612</v>
      </c>
      <c r="E14" s="123">
        <f>AVERAGE(Physical_Disability_Data!CH49,Physical_Disability_Data!CH53,Physical_Disability_Data!CH57)</f>
        <v>1913.954974421594</v>
      </c>
      <c r="F14" s="123">
        <f>AVERAGE(Physical_Disability_Data!CT49,Physical_Disability_Data!CT53,Physical_Disability_Data!CT57)</f>
        <v>1681.9893196884175</v>
      </c>
      <c r="G14" s="123">
        <f>AVERAGE(Physical_Disability_Data!GO49,Physical_Disability_Data!GO53,Physical_Disability_Data!GO57)</f>
        <v>3760.1723262436876</v>
      </c>
      <c r="H14" s="123">
        <f>AVERAGE(Physical_Disability_Data!DO49,Physical_Disability_Data!DO53,Physical_Disability_Data!DO57)</f>
        <v>2954.5986894114762</v>
      </c>
      <c r="I14" s="123">
        <f>AVERAGE(Physical_Disability_Data!EA49,Physical_Disability_Data!EA53,Physical_Disability_Data!EA57)</f>
        <v>2919.2290550128541</v>
      </c>
      <c r="J14" s="123">
        <f>AVERAGE(Physical_Disability_Data!ES49,Physical_Disability_Data!ES53,Physical_Disability_Data!ES57)</f>
        <v>1991.8488709511573</v>
      </c>
      <c r="K14" s="123">
        <f>AVERAGE(Physical_Disability_Data!FE49,Physical_Disability_Data!FE53,Physical_Disability_Data!FE57)</f>
        <v>8235.7080000000005</v>
      </c>
      <c r="L14" s="123">
        <f>AVERAGE(Physical_Disability_Data!FT49,Physical_Disability_Data!FT53,Physical_Disability_Data!FT57)</f>
        <v>12813.678059467917</v>
      </c>
      <c r="M14" s="123">
        <f>AVERAGE(Physical_Disability_Data!GL49,Physical_Disability_Data!GL53,Physical_Disability_Data!GL57)</f>
        <v>44354.145654207852</v>
      </c>
      <c r="N14" s="123">
        <f>AVERAGE(Physical_Disability_Data!GP49,Physical_Disability_Data!GP53,Physical_Disability_Data!GP57)</f>
        <v>73269.208329051253</v>
      </c>
      <c r="O14" s="123">
        <f>AVERAGE(Physical_Disability_Data!GQ49,Physical_Disability_Data!GQ53,Physical_Disability_Data!GQ57)</f>
        <v>77029.380655294939</v>
      </c>
      <c r="P14" s="66"/>
    </row>
    <row r="15" spans="1:16" s="83" customFormat="1" ht="14.5" x14ac:dyDescent="0.35">
      <c r="A15" s="66"/>
      <c r="B15" s="135"/>
      <c r="C15" s="129" t="s">
        <v>260</v>
      </c>
      <c r="D15" s="126">
        <f>Physical_Disability_Data!Q49</f>
        <v>164.22803213367612</v>
      </c>
      <c r="E15" s="126">
        <f>Physical_Disability_Data!CH49</f>
        <v>577.86512892030862</v>
      </c>
      <c r="F15" s="126">
        <f>Physical_Disability_Data!CT49</f>
        <v>638.61032863849755</v>
      </c>
      <c r="G15" s="126">
        <f>Physical_Disability_Data!GO49</f>
        <v>1380.7034896924824</v>
      </c>
      <c r="H15" s="126">
        <f>Physical_Disability_Data!DO49</f>
        <v>2647.8694249357332</v>
      </c>
      <c r="I15" s="126">
        <f>Physical_Disability_Data!EA49</f>
        <v>0</v>
      </c>
      <c r="J15" s="126">
        <f>Physical_Disability_Data!ES49</f>
        <v>1991.8488709511573</v>
      </c>
      <c r="K15" s="126">
        <f>Physical_Disability_Data!FE49</f>
        <v>8235.7080000000005</v>
      </c>
      <c r="L15" s="126">
        <f>Physical_Disability_Data!FT49</f>
        <v>0</v>
      </c>
      <c r="M15" s="126">
        <f>Physical_Disability_Data!GL49</f>
        <v>20987.772000000001</v>
      </c>
      <c r="N15" s="126">
        <f>Physical_Disability_Data!GP49</f>
        <v>33863.19829588689</v>
      </c>
      <c r="O15" s="126">
        <f>Physical_Disability_Data!GQ49</f>
        <v>35243.901785579372</v>
      </c>
      <c r="P15" s="66"/>
    </row>
    <row r="16" spans="1:16" s="83" customFormat="1" ht="14.5" x14ac:dyDescent="0.35">
      <c r="A16" s="66"/>
      <c r="B16" s="135"/>
      <c r="C16" s="129" t="s">
        <v>261</v>
      </c>
      <c r="D16" s="126">
        <f>Physical_Disability_Data!Q57</f>
        <v>164.22803213367612</v>
      </c>
      <c r="E16" s="126">
        <f>Physical_Disability_Data!CH57</f>
        <v>2845.9059640102832</v>
      </c>
      <c r="F16" s="126">
        <f>Physical_Disability_Data!CT57</f>
        <v>2561.8028169014083</v>
      </c>
      <c r="G16" s="126">
        <f>Physical_Disability_Data!GO57</f>
        <v>5571.9368130453677</v>
      </c>
      <c r="H16" s="126">
        <f>Physical_Disability_Data!DO57</f>
        <v>3568.0572183629633</v>
      </c>
      <c r="I16" s="126">
        <f>Physical_Disability_Data!EA57</f>
        <v>4378.843582519281</v>
      </c>
      <c r="J16" s="126">
        <f>Physical_Disability_Data!ES57</f>
        <v>1991.8488709511573</v>
      </c>
      <c r="K16" s="126">
        <f>Physical_Disability_Data!FE57</f>
        <v>8235.7080000000005</v>
      </c>
      <c r="L16" s="126">
        <f>Physical_Disability_Data!FT57</f>
        <v>20511.334898278557</v>
      </c>
      <c r="M16" s="126">
        <f>Physical_Disability_Data!GL57</f>
        <v>62557.151886161548</v>
      </c>
      <c r="N16" s="126">
        <f>Physical_Disability_Data!GP57</f>
        <v>101242.9444562735</v>
      </c>
      <c r="O16" s="126">
        <f>Physical_Disability_Data!GQ57</f>
        <v>106814.88126931887</v>
      </c>
      <c r="P16" s="66"/>
    </row>
    <row r="17" spans="1:16" s="83" customFormat="1" x14ac:dyDescent="0.35">
      <c r="A17" s="66"/>
      <c r="B17" s="66"/>
      <c r="C17" s="66"/>
      <c r="D17" s="125"/>
      <c r="E17" s="125"/>
      <c r="F17" s="125"/>
      <c r="G17" s="125"/>
      <c r="H17" s="125"/>
      <c r="I17" s="125"/>
      <c r="J17" s="125"/>
      <c r="K17" s="125"/>
      <c r="L17" s="125"/>
      <c r="M17" s="125"/>
      <c r="N17" s="125"/>
      <c r="O17" s="125"/>
      <c r="P17" s="66"/>
    </row>
    <row r="18" spans="1:16" s="83" customFormat="1" x14ac:dyDescent="0.35">
      <c r="A18" s="66"/>
      <c r="B18" s="135" t="s">
        <v>278</v>
      </c>
      <c r="C18" s="115" t="s">
        <v>259</v>
      </c>
      <c r="D18" s="123">
        <f>AVERAGE(Physical_Disability_Data!Q61,Physical_Disability_Data!Q65,Physical_Disability_Data!Q69)</f>
        <v>7751.5393258426966</v>
      </c>
      <c r="E18" s="123">
        <f>AVERAGE(Physical_Disability_Data!CH61,Physical_Disability_Data!CH65,Physical_Disability_Data!CH69)</f>
        <v>218.85133020344287</v>
      </c>
      <c r="F18" s="123">
        <f>AVERAGE(Physical_Disability_Data!CT61,Physical_Disability_Data!CT65,Physical_Disability_Data!CT69)</f>
        <v>1681.9893196884175</v>
      </c>
      <c r="G18" s="123">
        <f>AVERAGE(Physical_Disability_Data!GO61,Physical_Disability_Data!GO65,Physical_Disability_Data!GO69)</f>
        <v>9652.3799757345569</v>
      </c>
      <c r="H18" s="123">
        <f>AVERAGE(Physical_Disability_Data!DO61,Physical_Disability_Data!DO65,Physical_Disability_Data!DO69)</f>
        <v>2954.5986894114762</v>
      </c>
      <c r="I18" s="123">
        <f>AVERAGE(Physical_Disability_Data!EA61,Physical_Disability_Data!EA65,Physical_Disability_Data!EA69)</f>
        <v>0</v>
      </c>
      <c r="J18" s="123">
        <f>AVERAGE(Physical_Disability_Data!ES61,Physical_Disability_Data!ES65,Physical_Disability_Data!ES69)</f>
        <v>888.8641634961441</v>
      </c>
      <c r="K18" s="123">
        <f>AVERAGE(Physical_Disability_Data!FE61,Physical_Disability_Data!FE65,Physical_Disability_Data!FE69)</f>
        <v>365.05777036334916</v>
      </c>
      <c r="L18" s="123">
        <f>AVERAGE(Physical_Disability_Data!FT61,Physical_Disability_Data!FT65,Physical_Disability_Data!FT69)</f>
        <v>12813.678059467917</v>
      </c>
      <c r="M18" s="123">
        <f>AVERAGE(Physical_Disability_Data!GL61,Physical_Disability_Data!GL65,Physical_Disability_Data!GL69)</f>
        <v>14493.665333333332</v>
      </c>
      <c r="N18" s="123">
        <f>AVERAGE(Physical_Disability_Data!GP61,Physical_Disability_Data!GP65,Physical_Disability_Data!GP69)</f>
        <v>31515.864016072224</v>
      </c>
      <c r="O18" s="123">
        <f>AVERAGE(Physical_Disability_Data!GQ61,Physical_Disability_Data!GQ65,Physical_Disability_Data!GQ69)</f>
        <v>41168.243991806776</v>
      </c>
      <c r="P18" s="66"/>
    </row>
    <row r="19" spans="1:16" s="83" customFormat="1" ht="14.5" x14ac:dyDescent="0.35">
      <c r="A19" s="66"/>
      <c r="B19" s="135"/>
      <c r="C19" s="129" t="s">
        <v>260</v>
      </c>
      <c r="D19" s="126">
        <f>Physical_Disability_Data!Q61</f>
        <v>7751.5393258426975</v>
      </c>
      <c r="E19" s="126">
        <f>Physical_Disability_Data!CH61</f>
        <v>0</v>
      </c>
      <c r="F19" s="126">
        <f>Physical_Disability_Data!CT61</f>
        <v>638.61032863849755</v>
      </c>
      <c r="G19" s="126">
        <f>Physical_Disability_Data!GO61</f>
        <v>8390.1496544811944</v>
      </c>
      <c r="H19" s="126">
        <f>Physical_Disability_Data!DO61</f>
        <v>2647.8694249357332</v>
      </c>
      <c r="I19" s="126">
        <f>Physical_Disability_Data!EA61</f>
        <v>0</v>
      </c>
      <c r="J19" s="126">
        <f>Physical_Disability_Data!ES61</f>
        <v>0</v>
      </c>
      <c r="K19" s="126">
        <f>Physical_Disability_Data!FE61</f>
        <v>365.05777036334916</v>
      </c>
      <c r="L19" s="126">
        <f>Physical_Disability_Data!FT61</f>
        <v>0</v>
      </c>
      <c r="M19" s="126">
        <f>Physical_Disability_Data!GL61</f>
        <v>10980.944000000001</v>
      </c>
      <c r="N19" s="126">
        <f>Physical_Disability_Data!GP61</f>
        <v>13993.871195299083</v>
      </c>
      <c r="O19" s="126">
        <f>Physical_Disability_Data!GQ61</f>
        <v>22384.020849780278</v>
      </c>
      <c r="P19" s="66"/>
    </row>
    <row r="20" spans="1:16" s="83" customFormat="1" ht="14.5" x14ac:dyDescent="0.35">
      <c r="A20" s="66"/>
      <c r="B20" s="135"/>
      <c r="C20" s="129" t="s">
        <v>261</v>
      </c>
      <c r="D20" s="126">
        <f>Physical_Disability_Data!Q69</f>
        <v>7751.5393258426975</v>
      </c>
      <c r="E20" s="126">
        <f>Physical_Disability_Data!CH69</f>
        <v>352.89201877934272</v>
      </c>
      <c r="F20" s="126">
        <f>Physical_Disability_Data!CT69</f>
        <v>2561.8028169014083</v>
      </c>
      <c r="G20" s="126">
        <f>Physical_Disability_Data!GO69</f>
        <v>10666.234161523449</v>
      </c>
      <c r="H20" s="126">
        <f>Physical_Disability_Data!DO69</f>
        <v>3568.0572183629633</v>
      </c>
      <c r="I20" s="126">
        <f>Physical_Disability_Data!EA69</f>
        <v>0</v>
      </c>
      <c r="J20" s="126">
        <f>Physical_Disability_Data!ES69</f>
        <v>1991.8488709511573</v>
      </c>
      <c r="K20" s="126">
        <f>Physical_Disability_Data!FE69</f>
        <v>365.05777036334916</v>
      </c>
      <c r="L20" s="126">
        <f>Physical_Disability_Data!FT69</f>
        <v>20511.334898278557</v>
      </c>
      <c r="M20" s="126">
        <f>Physical_Disability_Data!GL69</f>
        <v>17711.2</v>
      </c>
      <c r="N20" s="126">
        <f>Physical_Disability_Data!GP69</f>
        <v>44147.498757956026</v>
      </c>
      <c r="O20" s="126">
        <f>Physical_Disability_Data!GQ69</f>
        <v>54813.732919479473</v>
      </c>
      <c r="P20" s="66"/>
    </row>
    <row r="21" spans="1:16" s="83" customFormat="1" x14ac:dyDescent="0.35">
      <c r="A21" s="66"/>
      <c r="B21" s="135" t="s">
        <v>279</v>
      </c>
      <c r="C21" s="115" t="s">
        <v>259</v>
      </c>
      <c r="D21" s="123">
        <f>AVERAGE(Physical_Disability_Data!Q62,Physical_Disability_Data!Q66,Physical_Disability_Data!Q70)</f>
        <v>7751.5393258426966</v>
      </c>
      <c r="E21" s="123">
        <f>AVERAGE(Physical_Disability_Data!CH62,Physical_Disability_Data!CH66,Physical_Disability_Data!CH70)</f>
        <v>218.85133020344287</v>
      </c>
      <c r="F21" s="123">
        <f>AVERAGE(Physical_Disability_Data!CT62,Physical_Disability_Data!CT66,Physical_Disability_Data!CT70)</f>
        <v>1681.9893196884175</v>
      </c>
      <c r="G21" s="123">
        <f>AVERAGE(Physical_Disability_Data!GO62,Physical_Disability_Data!GO66,Physical_Disability_Data!GO70)</f>
        <v>9652.3799757345569</v>
      </c>
      <c r="H21" s="123">
        <f>AVERAGE(Physical_Disability_Data!DO62,Physical_Disability_Data!DO66,Physical_Disability_Data!DO70)</f>
        <v>2954.5986894114762</v>
      </c>
      <c r="I21" s="123">
        <f>AVERAGE(Physical_Disability_Data!EA62,Physical_Disability_Data!EA66,Physical_Disability_Data!EA70)</f>
        <v>0</v>
      </c>
      <c r="J21" s="123">
        <f>AVERAGE(Physical_Disability_Data!ES62,Physical_Disability_Data!ES66,Physical_Disability_Data!ES70)</f>
        <v>1991.8488709511573</v>
      </c>
      <c r="K21" s="123">
        <f>AVERAGE(Physical_Disability_Data!FE62,Physical_Disability_Data!FE66,Physical_Disability_Data!FE70)</f>
        <v>8235.7080000000005</v>
      </c>
      <c r="L21" s="123">
        <f>AVERAGE(Physical_Disability_Data!FT62,Physical_Disability_Data!FT66,Physical_Disability_Data!FT70)</f>
        <v>12813.678059467917</v>
      </c>
      <c r="M21" s="123">
        <f>AVERAGE(Physical_Disability_Data!GL62,Physical_Disability_Data!GL66,Physical_Disability_Data!GL70)</f>
        <v>44354.145654207852</v>
      </c>
      <c r="N21" s="123">
        <f>AVERAGE(Physical_Disability_Data!GP62,Physical_Disability_Data!GP66,Physical_Disability_Data!GP70)</f>
        <v>70349.9792740384</v>
      </c>
      <c r="O21" s="123">
        <f>AVERAGE(Physical_Disability_Data!GQ62,Physical_Disability_Data!GQ66,Physical_Disability_Data!GQ70)</f>
        <v>80002.359249772955</v>
      </c>
      <c r="P21" s="66"/>
    </row>
    <row r="22" spans="1:16" s="83" customFormat="1" ht="14.5" x14ac:dyDescent="0.35">
      <c r="A22" s="66"/>
      <c r="B22" s="135"/>
      <c r="C22" s="129" t="s">
        <v>260</v>
      </c>
      <c r="D22" s="126">
        <f>Physical_Disability_Data!Q62</f>
        <v>7751.5393258426975</v>
      </c>
      <c r="E22" s="126">
        <f>Physical_Disability_Data!CH62</f>
        <v>0</v>
      </c>
      <c r="F22" s="126">
        <f>Physical_Disability_Data!CT62</f>
        <v>638.61032863849755</v>
      </c>
      <c r="G22" s="126">
        <f>Physical_Disability_Data!GO62</f>
        <v>8390.1496544811944</v>
      </c>
      <c r="H22" s="126">
        <f>Physical_Disability_Data!DO62</f>
        <v>2647.8694249357332</v>
      </c>
      <c r="I22" s="126">
        <f>Physical_Disability_Data!EA62</f>
        <v>0</v>
      </c>
      <c r="J22" s="126">
        <f>Physical_Disability_Data!ES62</f>
        <v>1991.8488709511573</v>
      </c>
      <c r="K22" s="126">
        <f>Physical_Disability_Data!FE62</f>
        <v>8235.7080000000005</v>
      </c>
      <c r="L22" s="126">
        <f>Physical_Disability_Data!FT62</f>
        <v>0</v>
      </c>
      <c r="M22" s="126">
        <f>Physical_Disability_Data!GL62</f>
        <v>20987.772000000001</v>
      </c>
      <c r="N22" s="126">
        <f>Physical_Disability_Data!GP62</f>
        <v>33863.19829588689</v>
      </c>
      <c r="O22" s="126">
        <f>Physical_Disability_Data!GQ62</f>
        <v>42253.347950368086</v>
      </c>
      <c r="P22" s="66"/>
    </row>
    <row r="23" spans="1:16" s="83" customFormat="1" ht="14.5" x14ac:dyDescent="0.35">
      <c r="A23" s="66"/>
      <c r="B23" s="135"/>
      <c r="C23" s="129" t="s">
        <v>261</v>
      </c>
      <c r="D23" s="126">
        <f>Physical_Disability_Data!Q70</f>
        <v>7751.5393258426975</v>
      </c>
      <c r="E23" s="126">
        <f>Physical_Disability_Data!CH70</f>
        <v>352.89201877934272</v>
      </c>
      <c r="F23" s="126">
        <f>Physical_Disability_Data!CT70</f>
        <v>2561.8028169014083</v>
      </c>
      <c r="G23" s="126">
        <f>Physical_Disability_Data!GO70</f>
        <v>10666.234161523449</v>
      </c>
      <c r="H23" s="126">
        <f>Physical_Disability_Data!DO70</f>
        <v>3568.0572183629633</v>
      </c>
      <c r="I23" s="126">
        <f>Physical_Disability_Data!EA70</f>
        <v>0</v>
      </c>
      <c r="J23" s="126">
        <f>Physical_Disability_Data!ES70</f>
        <v>1991.8488709511573</v>
      </c>
      <c r="K23" s="126">
        <f>Physical_Disability_Data!FE70</f>
        <v>8235.7080000000005</v>
      </c>
      <c r="L23" s="126">
        <f>Physical_Disability_Data!FT70</f>
        <v>20511.334898278557</v>
      </c>
      <c r="M23" s="126">
        <f>Physical_Disability_Data!GL70</f>
        <v>62557.151886161548</v>
      </c>
      <c r="N23" s="126">
        <f>Physical_Disability_Data!GP70</f>
        <v>96864.100873754229</v>
      </c>
      <c r="O23" s="126">
        <f>Physical_Disability_Data!GQ70</f>
        <v>107530.33503527768</v>
      </c>
      <c r="P23" s="66"/>
    </row>
    <row r="24" spans="1:16" x14ac:dyDescent="0.3">
      <c r="A24" s="55"/>
      <c r="B24" s="55"/>
      <c r="C24" s="55"/>
      <c r="D24" s="55"/>
      <c r="E24" s="55"/>
      <c r="F24" s="55"/>
      <c r="G24" s="55"/>
      <c r="H24" s="55"/>
      <c r="I24" s="55"/>
      <c r="J24" s="55"/>
      <c r="K24" s="55"/>
      <c r="L24" s="55"/>
      <c r="M24" s="55"/>
      <c r="N24" s="55"/>
      <c r="O24" s="55"/>
      <c r="P24" s="55"/>
    </row>
  </sheetData>
  <mergeCells count="6">
    <mergeCell ref="B21:B23"/>
    <mergeCell ref="B4:B6"/>
    <mergeCell ref="B7:B9"/>
    <mergeCell ref="B11:B13"/>
    <mergeCell ref="B14:B16"/>
    <mergeCell ref="B18:B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Intellectual_Disability_Data</vt:lpstr>
      <vt:lpstr>Intellectual_Disability_Totals</vt:lpstr>
      <vt:lpstr>Physical_Disability_Data</vt:lpstr>
      <vt:lpstr>Physical_Disability_Totals</vt:lpstr>
      <vt:lpstr>Prop_hosp</vt:lpstr>
      <vt:lpstr>Prop_Not_stated</vt:lpstr>
      <vt:lpstr>Prop_priv_accom</vt:lpstr>
      <vt:lpstr>Prop_req_accom</vt:lpstr>
      <vt:lpstr>Prop_residential</vt:lpstr>
      <vt:lpstr>Prop_supported</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Doble</dc:creator>
  <cp:lastModifiedBy>AdminCOOP</cp:lastModifiedBy>
  <cp:lastPrinted>2014-11-06T05:26:31Z</cp:lastPrinted>
  <dcterms:created xsi:type="dcterms:W3CDTF">2014-10-26T23:13:06Z</dcterms:created>
  <dcterms:modified xsi:type="dcterms:W3CDTF">2019-12-11T03:15:20Z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_accom" linkTarget="Prop_priv_accom">
    <vt:r8>0.64</vt:r8>
  </property>
  <property fmtid="{D5CDD505-2E9C-101B-9397-08002B2CF9AE}" pid="3" name="req_accom" linkTarget="Prop_req_accom">
    <vt:r8>0.359</vt:r8>
  </property>
  <property fmtid="{D5CDD505-2E9C-101B-9397-08002B2CF9AE}" pid="4" name="hosp" linkTarget="Prop_hosp">
    <vt:r8>0.044</vt:r8>
  </property>
  <property fmtid="{D5CDD505-2E9C-101B-9397-08002B2CF9AE}" pid="5" name="Not_stated" linkTarget="Prop_Not_stated">
    <vt:r8>0.055</vt:r8>
  </property>
  <property fmtid="{D5CDD505-2E9C-101B-9397-08002B2CF9AE}" pid="6" name="residential" linkTarget="Prop_residential">
    <vt:r8>0.044</vt:r8>
  </property>
  <property fmtid="{D5CDD505-2E9C-101B-9397-08002B2CF9AE}" pid="7" name="supported" linkTarget="Prop_supported">
    <vt:r8>0.216</vt:r8>
  </property>
</Properties>
</file>